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0280" windowHeight="20980" activeTab="3"/>
  </bookViews>
  <sheets>
    <sheet name="Control Entry" sheetId="1" r:id="rId1"/>
    <sheet name="Control Sheet " sheetId="2" r:id="rId2"/>
    <sheet name="Riders" sheetId="3" r:id="rId3"/>
    <sheet name="VI1000C 050625" sheetId="4" r:id="rId4"/>
    <sheet name="Web Page" sheetId="5" r:id="rId5"/>
    <sheet name="Web results" sheetId="6" r:id="rId6"/>
    <sheet name="Sheet1" sheetId="7" r:id="rId7"/>
  </sheets>
  <definedNames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HTML_CodePage" hidden="1">1252</definedName>
    <definedName name="HTML_Control" localSheetId="2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localSheetId="1" hidden="1">"'[VI0200A  Tour of Cowichan Valley.xls]Web sheet'!$A$1:$E$92"</definedName>
    <definedName name="HTML7_1" localSheetId="2" hidden="1">"'[VI0100B Nanaimo Populaire.xls]Web results'!$A$2:$D$30"</definedName>
    <definedName name="HTML7_1" localSheetId="5" hidden="1">"'[VI0401A Victoria--Union Bay.xls]Web results'!$A$2:$E$11"</definedName>
    <definedName name="HTML7_1" hidden="1">"'[VI1000B  Victoria--Port Hardy (Nanaimo start).xls]Web Page'!$A$1:$E$161"</definedName>
    <definedName name="HTML7_10" hidden="1">"randos@island.net"</definedName>
    <definedName name="HTML7_11" hidden="1">1</definedName>
    <definedName name="HTML7_12" localSheetId="1" hidden="1">"C:\My Documents\Web Page\200km_route_sheet.htm"</definedName>
    <definedName name="HTML7_12" localSheetId="2" hidden="1">"C:\My Documents\Web Page\100km_results.htm"</definedName>
    <definedName name="HTML7_12" localSheetId="5" hidden="1">"C:\My Documents\Web Page\400km_results.htm"</definedName>
    <definedName name="HTML7_12" hidden="1">"C:\My Documents\Web Page\1000km_route_sheet_nanaimo1.htm"</definedName>
    <definedName name="HTML7_2" localSheetId="1" hidden="1">1</definedName>
    <definedName name="HTML7_2" localSheetId="2" hidden="1">1</definedName>
    <definedName name="HTML7_2" hidden="1">-4146</definedName>
    <definedName name="HTML7_3" localSheetId="1" hidden="1">"VI0200A  Tour of Cowichan Valley"</definedName>
    <definedName name="HTML7_3" localSheetId="2" hidden="1">"VI0100B Nanaimo Populaire"</definedName>
    <definedName name="HTML7_3" localSheetId="5" hidden="1">"VI0401A Victoria--Union Bay"</definedName>
    <definedName name="HTML7_3" hidden="1">"C:\My Documents\Web Page\1000km_route_sheet_nanaimo.htm"</definedName>
    <definedName name="HTML7_4" localSheetId="2" hidden="1">"Ride Results"</definedName>
    <definedName name="HTML7_4" localSheetId="5" hidden="1">"Web results"</definedName>
    <definedName name="HTML7_4" hidden="1">"Vancouver Island 200 km Brevet"</definedName>
    <definedName name="HTML7_5" localSheetId="2" hidden="1">"Results from March 15th, 1998"</definedName>
    <definedName name="HTML7_5" localSheetId="5" hidden="1">""</definedName>
    <definedName name="HTML7_5" hidden="1">""</definedName>
    <definedName name="HTML7_6" hidden="1">1</definedName>
    <definedName name="HTML7_7" hidden="1">1</definedName>
    <definedName name="HTML7_8" localSheetId="2" hidden="1">"98-03-26"</definedName>
    <definedName name="HTML7_8" localSheetId="5" hidden="1">"98-05-18"</definedName>
    <definedName name="HTML7_8" hidden="1">"97-11-23"</definedName>
    <definedName name="HTML7_9" hidden="1">"Stephen Hinde"</definedName>
    <definedName name="HTML8_1" localSheetId="2" hidden="1">"'[VI0100B Nanaimo Populaire.xls]Web results'!$A$1:$J$17"</definedName>
    <definedName name="HTML8_1" localSheetId="5" hidden="1">"'[VI0200A  Tour of Cowichan Valley.xls]Web results'!$A$2:$E$23"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2" hidden="1">"C:\My Documents\Web Page\100km_results.htm"</definedName>
    <definedName name="HTML8_12" localSheetId="5" hidden="1">"C:\My Documents\Web Page\200km_results.htm"</definedName>
    <definedName name="HTML8_12" hidden="1">"C:\My Documents\Web Page\300km_route_sheet_duncan.htm"</definedName>
    <definedName name="HTML8_2" hidden="1">1</definedName>
    <definedName name="HTML8_3" localSheetId="2" hidden="1">"VI0100B Nanaimo Populaire results"</definedName>
    <definedName name="HTML8_3" localSheetId="5" hidden="1">"VI0200A  Tour of Cowichan Valley results"</definedName>
    <definedName name="HTML8_3" hidden="1">"VI0300A  Duncan--Victoria"</definedName>
    <definedName name="HTML8_4" localSheetId="2" hidden="1">"Populaire results"</definedName>
    <definedName name="HTML8_4" localSheetId="5" hidden="1">"200 km Brevet results"</definedName>
    <definedName name="HTML8_4" hidden="1">"Web sheet"</definedName>
    <definedName name="HTML8_5" localSheetId="2" hidden="1">"100 km bicycle ride on 15th March, 1998.
Co-sponsored by the BC Randonneur Cycling Club and the Nanaimo Bicycle Club."</definedName>
    <definedName name="HTML8_5" hidden="1">""</definedName>
    <definedName name="HTML8_6" hidden="1">1</definedName>
    <definedName name="HTML8_7" hidden="1">1</definedName>
    <definedName name="HTML8_8" localSheetId="2" hidden="1">"98-03-26"</definedName>
    <definedName name="HTML8_8" localSheetId="5" hidden="1">"98-03-30"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localSheetId="1" hidden="1">8</definedName>
    <definedName name="HTMLCount" localSheetId="2" hidden="1">8</definedName>
    <definedName name="HTMLCount" localSheetId="3" hidden="1">7</definedName>
    <definedName name="HTMLCount" localSheetId="4" hidden="1">7</definedName>
    <definedName name="HTMLCount" localSheetId="5" hidden="1">7</definedName>
    <definedName name="HTMLCount" hidden="1">6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_xlnm.Print_Area" localSheetId="3">'VI1000C 050625'!$A$1:$I$95</definedName>
    <definedName name="_xlnm.Print_Titles" localSheetId="1">'Control Sheet '!$1:$2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<sst xmlns="http://schemas.openxmlformats.org/spreadsheetml/2006/main" count="912" uniqueCount="292">
  <si>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</si>
  <si>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</si>
  <si>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</si>
  <si>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</si>
  <si>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</si>
  <si>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</si>
  <si>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</si>
  <si>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</si>
  <si>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</si>
  <si>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</si>
  <si>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</si>
  <si>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</si>
  <si>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</si>
  <si>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</si>
  <si>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</si>
  <si>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</si>
  <si>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</si>
  <si>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</si>
  <si>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7-11</t>
  </si>
  <si>
    <t>Hilchey</t>
  </si>
  <si>
    <t>Control 3</t>
  </si>
  <si>
    <t>Highway #19A</t>
  </si>
  <si>
    <t>Control 4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</si>
  <si>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</si>
  <si>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</si>
  <si>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</si>
  <si>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</si>
  <si>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</si>
  <si>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</si>
  <si>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</si>
  <si>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</si>
  <si>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</si>
  <si>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</si>
  <si>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Memorial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</si>
  <si>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</si>
  <si>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</si>
  <si>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</si>
  <si>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</si>
  <si>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</si>
  <si>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</si>
  <si>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</si>
  <si>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</si>
  <si>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</si>
  <si>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</si>
  <si>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</si>
  <si>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</si>
  <si>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</si>
  <si>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 #2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</si>
  <si>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</si>
  <si>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</si>
  <si>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</si>
  <si>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</si>
  <si>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</si>
  <si>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</si>
  <si>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</si>
  <si>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</si>
  <si>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</si>
  <si>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</si>
  <si>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</si>
  <si>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</si>
  <si>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</si>
  <si>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</si>
  <si>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</si>
  <si>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</si>
  <si>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</si>
  <si>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</si>
  <si>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Control Card #1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</si>
  <si>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</si>
  <si>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</si>
  <si>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</si>
  <si>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</si>
  <si>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</si>
  <si>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</si>
  <si>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</si>
  <si>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</si>
  <si>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</si>
  <si>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Rand Memb</t>
  </si>
  <si>
    <t>Pin</t>
  </si>
  <si>
    <t>l - 1/2 hr - no lights</t>
  </si>
  <si>
    <t>f - 1/2 hr - no fenders</t>
  </si>
  <si>
    <t>Turn</t>
  </si>
  <si>
    <t>R</t>
  </si>
  <si>
    <t>L</t>
  </si>
  <si>
    <t>CONTROL #1 --7-11</t>
  </si>
  <si>
    <t>GRANVILLE</t>
  </si>
  <si>
    <t>HWY #19</t>
  </si>
  <si>
    <t>Go to100 km point</t>
  </si>
  <si>
    <t>Go to 200 km point</t>
  </si>
  <si>
    <t>Go to 300 km point</t>
  </si>
  <si>
    <t>Go to 400 km point</t>
  </si>
  <si>
    <t>Go to 500 km point</t>
  </si>
  <si>
    <t>Go to 600 km point</t>
  </si>
  <si>
    <t>Go to 700 km point</t>
  </si>
  <si>
    <t>Go to 800 km point</t>
  </si>
  <si>
    <t>Go to 900 km point</t>
  </si>
  <si>
    <t>Go to Control #1</t>
  </si>
  <si>
    <t>Go to Control #2</t>
  </si>
  <si>
    <t>Go to Control #3</t>
  </si>
  <si>
    <t>Go to Control #4</t>
  </si>
  <si>
    <t>Go to Control #5</t>
  </si>
  <si>
    <t>Go to Control #6</t>
  </si>
  <si>
    <t>Go to Control #7</t>
  </si>
  <si>
    <t>Go to Control #8</t>
  </si>
  <si>
    <t>Go to Control #9</t>
  </si>
  <si>
    <t>Go to Finish</t>
  </si>
  <si>
    <t>Return to start</t>
  </si>
  <si>
    <t>!!!CONGRATULATIONS!!!</t>
  </si>
  <si>
    <t>RIDER</t>
  </si>
  <si>
    <t>TIME</t>
  </si>
  <si>
    <t>Ken</t>
  </si>
  <si>
    <t>Bonner</t>
  </si>
  <si>
    <t>15h45</t>
  </si>
  <si>
    <t>Time is in hours and minutes.</t>
  </si>
  <si>
    <t>l   includes 1/2 hour penalty - no lights</t>
  </si>
  <si>
    <t>f   includes 1/2 hour penalty - no fenders</t>
  </si>
  <si>
    <t>e  rode 1 week early</t>
  </si>
  <si>
    <t>d  rode 1 week late</t>
  </si>
  <si>
    <t>r - 1/2 hr - route violation</t>
  </si>
  <si>
    <t>e - rode early</t>
  </si>
  <si>
    <t>d - rode late</t>
  </si>
  <si>
    <t>At  km</t>
  </si>
  <si>
    <t>onto  ROUTE</t>
  </si>
  <si>
    <t xml:space="preserve"> then   Go km</t>
  </si>
  <si>
    <t>SO</t>
  </si>
  <si>
    <t>Hwy #19A @ Alberni Hwy</t>
  </si>
  <si>
    <t>ALBERNI HWY</t>
  </si>
  <si>
    <t>Shell Gas</t>
  </si>
  <si>
    <t>WILLOW POINT</t>
  </si>
  <si>
    <t>SAYWARD JUNCTION</t>
  </si>
  <si>
    <t>WOSS CAMP</t>
  </si>
  <si>
    <t>PORT HARDY</t>
  </si>
  <si>
    <t>QUALICUM BEACH</t>
  </si>
  <si>
    <t>PARKSVILLE</t>
  </si>
  <si>
    <t>Tim Horton's</t>
  </si>
  <si>
    <t>START--Chevron, Parksville</t>
  </si>
  <si>
    <t>CONTROL #7--7-11</t>
  </si>
  <si>
    <t>Codes</t>
  </si>
  <si>
    <t xml:space="preserve">WOSS </t>
  </si>
  <si>
    <t>U</t>
  </si>
  <si>
    <t>BL</t>
  </si>
  <si>
    <t>L - R</t>
  </si>
  <si>
    <t>DRINKWATER ROAD, DUNCAN</t>
  </si>
  <si>
    <t xml:space="preserve">SO </t>
  </si>
  <si>
    <t>CONTROL #9 TIM HORTONS</t>
  </si>
  <si>
    <t>YOUBOU</t>
  </si>
  <si>
    <t>CONTROL #10 DALY'S AUTOS</t>
  </si>
  <si>
    <t>CONTROL #11 RIDER"S CHOICE</t>
  </si>
  <si>
    <t>COWICHAN BAY</t>
  </si>
  <si>
    <t>BR</t>
  </si>
  <si>
    <t>DUNCAN</t>
  </si>
  <si>
    <t>Drinkwater Road</t>
  </si>
  <si>
    <t>Rider's Choice</t>
  </si>
  <si>
    <t>Daly's Auto</t>
  </si>
  <si>
    <t>Highway #19</t>
  </si>
  <si>
    <t>Providence Inn</t>
  </si>
  <si>
    <t>Granville &amp; Rupert</t>
  </si>
  <si>
    <t>LOOK FOR SIGN!</t>
  </si>
  <si>
    <t>Parksville - Port Hardy - Youbou - Parksville</t>
  </si>
  <si>
    <t>HWY #19A (@ 29TH ST.LIGHTS)</t>
  </si>
  <si>
    <t>HWY #19A (COMOX RD.)</t>
  </si>
  <si>
    <t xml:space="preserve">HWY #19A (2ND LHTS, TO OCEAN GROVE) </t>
  </si>
  <si>
    <t xml:space="preserve">HWY #19A (OLD ISLAND HWY) </t>
  </si>
  <si>
    <t>HWY #19A (NORTH)</t>
  </si>
  <si>
    <t>HWY #19A (PAST FERRY)</t>
  </si>
  <si>
    <t>HWY #19 (@TAMARAC)</t>
  </si>
  <si>
    <t>HWY #19 (@WOODBURN)</t>
  </si>
  <si>
    <t>HWY #19 (TO PORT HARDY)</t>
  </si>
  <si>
    <t>CONTROL #3 --RIDER'S CHOICE</t>
  </si>
  <si>
    <t>WOSS (RETURN TO HWY #19)</t>
  </si>
  <si>
    <t>HWY #19 NORTH (STOP)</t>
  </si>
  <si>
    <t>GRANVILLE (@HARDY INN)</t>
  </si>
  <si>
    <t>CONTROL #4--PROVIDENCE INN</t>
  </si>
  <si>
    <t>HWY 19 @ 4 WAY STOP</t>
  </si>
  <si>
    <r>
      <t xml:space="preserve">HWY #19A (NORTH </t>
    </r>
    <r>
      <rPr>
        <b/>
        <sz val="9.5"/>
        <rFont val="Arial"/>
        <family val="2"/>
      </rPr>
      <t>@</t>
    </r>
    <r>
      <rPr>
        <sz val="9.5"/>
        <rFont val="Arial"/>
        <family val="2"/>
      </rPr>
      <t xml:space="preserve"> LIGHTS)</t>
    </r>
  </si>
  <si>
    <t>NORTH THRU QUALICUM BEACH</t>
  </si>
  <si>
    <t>HWY #19A (17 ST., COURTENAY)</t>
  </si>
  <si>
    <t>CONT' NORTH PAST PORT MCNEIL</t>
  </si>
  <si>
    <t>HWY 19 (@ BEAR COVE HWY)</t>
  </si>
  <si>
    <t>CONT' SOUTH PAST PORT MCNEIL</t>
  </si>
  <si>
    <t>HWY #19 SOUTH (STOP)</t>
  </si>
  <si>
    <t>CONTROL #6--RIDER'S CHOICE</t>
  </si>
  <si>
    <t>HWY #19A (INTO CAMPBELL RIVER)</t>
  </si>
  <si>
    <t xml:space="preserve">HWY #19A (AT CHEVRON) </t>
  </si>
  <si>
    <t>HWY #19A (SOUTH)</t>
  </si>
  <si>
    <t>CONTROL #8--SHELL GAS</t>
  </si>
  <si>
    <t>SOUTH THRU OCEAN GROVE</t>
  </si>
  <si>
    <t>HWY #19A (17 ST, COURTENAY)</t>
  </si>
  <si>
    <t>HWY #19A (@ PETROCAN)</t>
  </si>
  <si>
    <t>HWY #19A (SOUTH TO NANAIMO)</t>
  </si>
  <si>
    <t>SOUTH THROUGH PARKSVILLE</t>
  </si>
  <si>
    <t>HWY #19 (SOUTH TO NANAIMO)</t>
  </si>
  <si>
    <t>SUPERIOR ROAD</t>
  </si>
  <si>
    <t>VANDENHOEK ROAD</t>
  </si>
  <si>
    <t>B/C HARBY ROAD (NO CHOICE)</t>
  </si>
  <si>
    <t>B/C PHILLIP ROAD (@ R BEND)</t>
  </si>
  <si>
    <t>RONALD ROAD</t>
  </si>
  <si>
    <t>WARE ROAD</t>
  </si>
  <si>
    <t>AULDS ROAD</t>
  </si>
  <si>
    <t>CROSS NANAIMO PKWY</t>
  </si>
  <si>
    <t>METRAL DRIVE (@ LIGHT)</t>
  </si>
  <si>
    <t>MOSTAR ROAD (NO CHOICE)</t>
  </si>
  <si>
    <t>JINGLEPOT RD</t>
  </si>
  <si>
    <t>THIRD</t>
  </si>
  <si>
    <t>WAKESIAH RD (@ LIGHTS)</t>
  </si>
  <si>
    <t>FIFTH ST</t>
  </si>
  <si>
    <t>PARK AVE</t>
  </si>
  <si>
    <t>SEVENTH STREET</t>
  </si>
  <si>
    <t>OLD VICTORIA ROAD</t>
  </si>
  <si>
    <t>CRANBERRY AVE</t>
  </si>
  <si>
    <t>B/C EXTENSION RD</t>
  </si>
  <si>
    <t>B/C WHITE RAPIDS RD (NOT RIGHT)</t>
  </si>
  <si>
    <t>NANAIMO RIVER RD (Y JUNCTION)</t>
  </si>
  <si>
    <t>SOUTH WELLINGTON RD</t>
  </si>
  <si>
    <t>HWY #1 (TO VICTORIA)</t>
  </si>
  <si>
    <t>DRINKWATER RD</t>
  </si>
  <si>
    <t>SOMENOS RD</t>
  </si>
  <si>
    <t xml:space="preserve"> COWICHAN LAKE RD (@ TANSOR RD)</t>
  </si>
  <si>
    <t>CROSS SKUTZ FALLS RD</t>
  </si>
  <si>
    <t>OLD LAKE COWICHAN RD</t>
  </si>
  <si>
    <t>SOUTH SHORE RD (UP HILL)</t>
  </si>
  <si>
    <t>YOUBOU RD @ LK COWICHAN HWY</t>
  </si>
  <si>
    <t>CAUTION CROSSING TRAFFIC</t>
  </si>
  <si>
    <t>COON CREEK RD</t>
  </si>
  <si>
    <t>ZIG ZAG ONTO HWY #1 SOUTH</t>
  </si>
  <si>
    <t>B/C WHITE RAPIDS RD (NOT R)</t>
  </si>
  <si>
    <t xml:space="preserve"> COWICHAN LAKE RD @ RND ABT</t>
  </si>
  <si>
    <t>COWICHAN BAY RD</t>
  </si>
  <si>
    <t>JAYNES RD</t>
  </si>
  <si>
    <t>HERD RD @ T</t>
  </si>
  <si>
    <t>RICHARDS TRAIL</t>
  </si>
  <si>
    <t>WESTHOLME RD (NOT SIGNED)</t>
  </si>
  <si>
    <t>CHEMANIUS RD @ CROFTON RD</t>
  </si>
  <si>
    <t>HWY #1 NORTH</t>
  </si>
  <si>
    <t>MORDEN ROAD</t>
  </si>
  <si>
    <t>AKENHEAD ROAD</t>
  </si>
  <si>
    <t>WILKINSON ROAD @ T</t>
  </si>
  <si>
    <t>CEDAR ROAD</t>
  </si>
  <si>
    <t>TZOUHALUM RD @ TENNIS CT</t>
  </si>
  <si>
    <t>TZOUHALUM RD @ RNDABOUT</t>
  </si>
  <si>
    <t>LAKES RD @ STOP (NOT SIGNED)</t>
  </si>
  <si>
    <t xml:space="preserve">HALIBURTON ST (FIRST R AFTER </t>
  </si>
  <si>
    <t>TRESTLE)</t>
  </si>
  <si>
    <t>YOUBOU RD TO LK COWICHAN</t>
  </si>
  <si>
    <t>MEADES CREEK RD</t>
  </si>
  <si>
    <t>NORTH SHORE RD @ T</t>
  </si>
  <si>
    <t>SOUTH SHORE RD</t>
  </si>
  <si>
    <t>GREENDALE RD</t>
  </si>
  <si>
    <t>SKUTZ FALLS RD</t>
  </si>
  <si>
    <t>LAKE COWICHAN RD</t>
  </si>
  <si>
    <t>MENZIES RD</t>
  </si>
  <si>
    <t>GIBBONS RD (R = BARNJUM)</t>
  </si>
  <si>
    <t>B/C ALLENBY RD</t>
  </si>
  <si>
    <t>HWY #1 SOUTH</t>
  </si>
  <si>
    <t>BENCH RD</t>
  </si>
  <si>
    <t xml:space="preserve">KOKSILAH RD </t>
  </si>
  <si>
    <t>CROSS HWY 1 ON KOKSILAH RD</t>
  </si>
  <si>
    <t xml:space="preserve">HALIBURTON ST </t>
  </si>
  <si>
    <t>CHACE ST</t>
  </si>
  <si>
    <t>ESPLANADE</t>
  </si>
  <si>
    <t>FRONT ST</t>
  </si>
  <si>
    <t>B/C COMOX ST @ CORNER</t>
  </si>
  <si>
    <t>HWY #1 NORTH (TERMINAL AVE)</t>
  </si>
  <si>
    <t>PRINCESS AVE</t>
  </si>
  <si>
    <t>ESTEVAN ROAD @ L CORNER</t>
  </si>
  <si>
    <t>DEPARTURE BAY RD</t>
  </si>
  <si>
    <t>MONTROSE AVE (AFTER MALL)</t>
  </si>
  <si>
    <t>HIGHLAND BLVD</t>
  </si>
  <si>
    <t>ISLAND HWY NORTH (TERMINAL AVE)</t>
  </si>
  <si>
    <t>TURNER AVE @ LIGHTS</t>
  </si>
  <si>
    <t>UPLANDS DRIVE @ LIGHTS</t>
  </si>
  <si>
    <t xml:space="preserve">DOVER ROAD @ LIGHTS </t>
  </si>
  <si>
    <t>B/C LANTZVILLE RD AT R BEND</t>
  </si>
  <si>
    <t>HWY #1 NORTH ==&gt; PARKSVILLE</t>
  </si>
  <si>
    <t>NORTHWEST BAY RD (PETRO-CAN)</t>
  </si>
  <si>
    <t>FRANKLIN'S GULL (NO CHOICE)</t>
  </si>
  <si>
    <t>HWY #1 NORTH INTO PARKSVILLE</t>
  </si>
  <si>
    <t>HWY #19A @ ALBERNI HWY</t>
  </si>
  <si>
    <t>LK COWICHAN RD @ RNDABOUT</t>
  </si>
  <si>
    <t>CRAIG ST @ LIGHTS (NOT SIGNED)</t>
  </si>
  <si>
    <t>ALLENBY RD, NOT UPHILL!</t>
  </si>
  <si>
    <t>CONTROL #2--RIDER'S CHOICE</t>
  </si>
  <si>
    <t>SAYWARD JUNC</t>
  </si>
  <si>
    <t>CONTROL #5 --RIDER'S CHOICE</t>
  </si>
  <si>
    <t>Name of cafe?</t>
  </si>
  <si>
    <t>Name of bakery?</t>
  </si>
  <si>
    <t>cel (250) 713-4454</t>
  </si>
  <si>
    <t>msg (250) 729-4943</t>
  </si>
  <si>
    <t>VI 1000</t>
  </si>
  <si>
    <t xml:space="preserve">494 Highway #19A </t>
  </si>
  <si>
    <t>LK COWICHAN RD @ RND ABOUT</t>
  </si>
  <si>
    <t>TZOUHALUM RD @ RND ABOUT</t>
  </si>
  <si>
    <t>B/C LANTZVILLE RD AT RIGHT BEND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</si>
</sst>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"/>
    <numFmt numFmtId="173" formatCode="dd/mmm/yy\ hh:mm"/>
    <numFmt numFmtId="174" formatCode="dd/mmm/yy\ hh:mm\ AM/PM"/>
    <numFmt numFmtId="175" formatCode="m/d"/>
    <numFmt numFmtId="176" formatCode="d/mmm/yy"/>
    <numFmt numFmtId="177" formatCode="dddd"/>
    <numFmt numFmtId="178" formatCode="0.0"/>
    <numFmt numFmtId="179" formatCode="mmmm\ d\,\ yyyy"/>
    <numFmt numFmtId="180" formatCode="[&lt;=9999999]###\-####;\(###\)\ 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39"/>
      <name val="Arial"/>
      <family val="2"/>
    </font>
    <font>
      <sz val="8"/>
      <name val="Tahoma"/>
      <family val="0"/>
    </font>
    <font>
      <b/>
      <sz val="16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33" borderId="18" xfId="0" applyFill="1" applyBorder="1" applyAlignment="1">
      <alignment horizontal="right"/>
    </xf>
    <xf numFmtId="20" fontId="0" fillId="0" borderId="19" xfId="0" applyNumberFormat="1" applyBorder="1" applyAlignment="1" applyProtection="1">
      <alignment/>
      <protection locked="0"/>
    </xf>
    <xf numFmtId="0" fontId="0" fillId="33" borderId="20" xfId="0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/>
    </xf>
    <xf numFmtId="15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justify" wrapText="1"/>
    </xf>
    <xf numFmtId="0" fontId="6" fillId="0" borderId="0" xfId="0" applyFont="1" applyAlignment="1">
      <alignment horizontal="centerContinuous" vertical="justify" wrapText="1"/>
    </xf>
    <xf numFmtId="0" fontId="11" fillId="0" borderId="0" xfId="0" applyFont="1" applyAlignment="1">
      <alignment horizontal="centerContinuous" vertical="justify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0" fillId="0" borderId="25" xfId="0" applyBorder="1" applyAlignment="1">
      <alignment/>
    </xf>
    <xf numFmtId="0" fontId="7" fillId="0" borderId="0" xfId="0" applyFont="1" applyAlignment="1">
      <alignment horizontal="centerContinuous" vertical="center" wrapText="1"/>
    </xf>
    <xf numFmtId="179" fontId="10" fillId="0" borderId="25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28" xfId="0" applyBorder="1" applyAlignment="1">
      <alignment/>
    </xf>
    <xf numFmtId="0" fontId="10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0" fillId="0" borderId="25" xfId="0" applyFont="1" applyBorder="1" applyAlignment="1" applyProtection="1">
      <alignment horizontal="centerContinuous"/>
      <protection locked="0"/>
    </xf>
    <xf numFmtId="0" fontId="10" fillId="0" borderId="25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0" xfId="0" applyFont="1" applyAlignment="1" applyProtection="1">
      <alignment horizontal="centerContinuous" vertical="center" wrapText="1"/>
      <protection/>
    </xf>
    <xf numFmtId="20" fontId="7" fillId="0" borderId="0" xfId="0" applyNumberFormat="1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25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178" fontId="0" fillId="0" borderId="25" xfId="0" applyNumberFormat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0" fontId="0" fillId="0" borderId="32" xfId="0" applyBorder="1" applyAlignment="1">
      <alignment/>
    </xf>
    <xf numFmtId="178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178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 applyProtection="1">
      <alignment/>
      <protection locked="0"/>
    </xf>
    <xf numFmtId="0" fontId="12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6" fontId="13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wrapText="1"/>
    </xf>
    <xf numFmtId="178" fontId="13" fillId="0" borderId="18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 applyProtection="1">
      <alignment/>
      <protection locked="0"/>
    </xf>
    <xf numFmtId="180" fontId="0" fillId="0" borderId="22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180" fontId="1" fillId="33" borderId="16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180" fontId="0" fillId="0" borderId="0" xfId="0" applyNumberFormat="1" applyAlignment="1">
      <alignment/>
    </xf>
    <xf numFmtId="180" fontId="14" fillId="0" borderId="25" xfId="0" applyNumberFormat="1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0" fontId="8" fillId="0" borderId="25" xfId="0" applyFont="1" applyBorder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15" fillId="34" borderId="13" xfId="0" applyFont="1" applyFill="1" applyBorder="1" applyAlignment="1">
      <alignment horizontal="centerContinuous"/>
    </xf>
    <xf numFmtId="0" fontId="15" fillId="34" borderId="11" xfId="0" applyFont="1" applyFill="1" applyBorder="1" applyAlignment="1">
      <alignment horizontal="centerContinuous"/>
    </xf>
    <xf numFmtId="0" fontId="15" fillId="34" borderId="11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0" fillId="0" borderId="22" xfId="0" applyFon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178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178" fontId="13" fillId="0" borderId="35" xfId="0" applyNumberFormat="1" applyFont="1" applyBorder="1" applyAlignment="1">
      <alignment horizontal="center" wrapText="1"/>
    </xf>
    <xf numFmtId="177" fontId="13" fillId="0" borderId="35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180" fontId="0" fillId="35" borderId="22" xfId="0" applyNumberFormat="1" applyFont="1" applyFill="1" applyBorder="1" applyAlignment="1" applyProtection="1">
      <alignment/>
      <protection locked="0"/>
    </xf>
    <xf numFmtId="0" fontId="0" fillId="35" borderId="22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180" fontId="0" fillId="0" borderId="2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8" fontId="0" fillId="35" borderId="14" xfId="0" applyNumberFormat="1" applyFill="1" applyBorder="1" applyAlignment="1">
      <alignment horizontal="right" textRotation="90" wrapText="1"/>
    </xf>
    <xf numFmtId="49" fontId="0" fillId="35" borderId="11" xfId="0" applyNumberFormat="1" applyFill="1" applyBorder="1" applyAlignment="1">
      <alignment horizontal="center" textRotation="90"/>
    </xf>
    <xf numFmtId="49" fontId="0" fillId="35" borderId="36" xfId="0" applyNumberFormat="1" applyFill="1" applyBorder="1" applyAlignment="1">
      <alignment horizontal="center" wrapText="1"/>
    </xf>
    <xf numFmtId="178" fontId="0" fillId="35" borderId="37" xfId="0" applyNumberFormat="1" applyFill="1" applyBorder="1" applyAlignment="1">
      <alignment horizontal="center" textRotation="90" wrapText="1"/>
    </xf>
    <xf numFmtId="49" fontId="0" fillId="0" borderId="38" xfId="0" applyNumberFormat="1" applyBorder="1" applyAlignment="1" applyProtection="1">
      <alignment horizontal="center"/>
      <protection locked="0"/>
    </xf>
    <xf numFmtId="178" fontId="18" fillId="0" borderId="10" xfId="0" applyNumberFormat="1" applyFont="1" applyBorder="1" applyAlignment="1">
      <alignment horizontal="center" vertical="center"/>
    </xf>
    <xf numFmtId="18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80" fontId="0" fillId="0" borderId="22" xfId="0" applyNumberForma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8" fontId="0" fillId="35" borderId="13" xfId="0" applyNumberFormat="1" applyFill="1" applyBorder="1" applyAlignment="1">
      <alignment horizontal="right" textRotation="90"/>
    </xf>
    <xf numFmtId="49" fontId="0" fillId="35" borderId="36" xfId="0" applyNumberFormat="1" applyFill="1" applyBorder="1" applyAlignment="1">
      <alignment horizontal="center" textRotation="90"/>
    </xf>
    <xf numFmtId="49" fontId="0" fillId="35" borderId="36" xfId="0" applyNumberFormat="1" applyFill="1" applyBorder="1" applyAlignment="1">
      <alignment horizontal="center"/>
    </xf>
    <xf numFmtId="178" fontId="0" fillId="0" borderId="39" xfId="0" applyNumberFormat="1" applyBorder="1" applyAlignment="1" applyProtection="1">
      <alignment horizontal="right"/>
      <protection locked="0"/>
    </xf>
    <xf numFmtId="0" fontId="0" fillId="0" borderId="24" xfId="0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Continuous"/>
      <protection locked="0"/>
    </xf>
    <xf numFmtId="178" fontId="0" fillId="0" borderId="40" xfId="0" applyNumberFormat="1" applyBorder="1" applyAlignment="1" applyProtection="1">
      <alignment horizontal="right"/>
      <protection locked="0"/>
    </xf>
    <xf numFmtId="178" fontId="0" fillId="0" borderId="41" xfId="0" applyNumberFormat="1" applyBorder="1" applyAlignment="1" applyProtection="1">
      <alignment horizontal="right"/>
      <protection locked="0"/>
    </xf>
    <xf numFmtId="178" fontId="1" fillId="0" borderId="40" xfId="0" applyNumberFormat="1" applyFont="1" applyBorder="1" applyAlignment="1" applyProtection="1">
      <alignment horizontal="right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178" fontId="0" fillId="0" borderId="43" xfId="0" applyNumberForma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178" fontId="0" fillId="0" borderId="44" xfId="0" applyNumberFormat="1" applyBorder="1" applyAlignment="1" applyProtection="1">
      <alignment/>
      <protection locked="0"/>
    </xf>
    <xf numFmtId="0" fontId="0" fillId="0" borderId="38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" fillId="0" borderId="38" xfId="0" applyFon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center"/>
      <protection locked="0"/>
    </xf>
    <xf numFmtId="178" fontId="0" fillId="0" borderId="46" xfId="0" applyNumberFormat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178" fontId="0" fillId="0" borderId="43" xfId="0" applyNumberFormat="1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center"/>
      <protection locked="0"/>
    </xf>
    <xf numFmtId="178" fontId="0" fillId="0" borderId="44" xfId="0" applyNumberFormat="1" applyBorder="1" applyAlignment="1" applyProtection="1">
      <alignment horizontal="right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0" fontId="21" fillId="0" borderId="38" xfId="0" applyFont="1" applyBorder="1" applyAlignment="1">
      <alignment/>
    </xf>
    <xf numFmtId="178" fontId="1" fillId="0" borderId="39" xfId="0" applyNumberFormat="1" applyFont="1" applyBorder="1" applyAlignment="1" applyProtection="1">
      <alignment horizontal="center"/>
      <protection locked="0"/>
    </xf>
    <xf numFmtId="49" fontId="1" fillId="0" borderId="38" xfId="0" applyNumberFormat="1" applyFont="1" applyBorder="1" applyAlignment="1" applyProtection="1">
      <alignment horizontal="center"/>
      <protection locked="0"/>
    </xf>
    <xf numFmtId="0" fontId="22" fillId="0" borderId="38" xfId="0" applyFont="1" applyBorder="1" applyAlignment="1">
      <alignment horizontal="center"/>
    </xf>
    <xf numFmtId="178" fontId="1" fillId="0" borderId="44" xfId="0" applyNumberFormat="1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left"/>
      <protection locked="0"/>
    </xf>
    <xf numFmtId="178" fontId="1" fillId="0" borderId="41" xfId="0" applyNumberFormat="1" applyFont="1" applyBorder="1" applyAlignment="1" applyProtection="1">
      <alignment horizontal="center"/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178" fontId="1" fillId="0" borderId="46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78" fontId="0" fillId="0" borderId="38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0" fontId="1" fillId="0" borderId="45" xfId="0" applyFont="1" applyBorder="1" applyAlignment="1">
      <alignment horizontal="center"/>
    </xf>
    <xf numFmtId="178" fontId="0" fillId="0" borderId="44" xfId="0" applyNumberFormat="1" applyFill="1" applyBorder="1" applyAlignment="1" applyProtection="1">
      <alignment horizontal="right"/>
      <protection locked="0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178" fontId="0" fillId="0" borderId="39" xfId="0" applyNumberFormat="1" applyFont="1" applyBorder="1" applyAlignment="1" applyProtection="1">
      <alignment horizontal="center"/>
      <protection locked="0"/>
    </xf>
    <xf numFmtId="178" fontId="0" fillId="0" borderId="44" xfId="0" applyNumberFormat="1" applyFont="1" applyBorder="1" applyAlignment="1" applyProtection="1">
      <alignment horizontal="right"/>
      <protection locked="0"/>
    </xf>
    <xf numFmtId="178" fontId="0" fillId="0" borderId="38" xfId="0" applyNumberFormat="1" applyFont="1" applyBorder="1" applyAlignment="1" applyProtection="1">
      <alignment horizontal="right"/>
      <protection locked="0"/>
    </xf>
    <xf numFmtId="49" fontId="0" fillId="0" borderId="45" xfId="0" applyNumberFormat="1" applyFont="1" applyBorder="1" applyAlignment="1" applyProtection="1">
      <alignment horizontal="center"/>
      <protection locked="0"/>
    </xf>
    <xf numFmtId="0" fontId="0" fillId="0" borderId="45" xfId="0" applyFont="1" applyBorder="1" applyAlignment="1">
      <alignment/>
    </xf>
    <xf numFmtId="178" fontId="0" fillId="0" borderId="46" xfId="0" applyNumberForma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21" fillId="0" borderId="42" xfId="0" applyFont="1" applyBorder="1" applyAlignment="1">
      <alignment/>
    </xf>
    <xf numFmtId="0" fontId="0" fillId="0" borderId="38" xfId="0" applyFont="1" applyBorder="1" applyAlignment="1" applyProtection="1">
      <alignment horizontal="center"/>
      <protection locked="0"/>
    </xf>
    <xf numFmtId="49" fontId="0" fillId="0" borderId="38" xfId="0" applyNumberFormat="1" applyFont="1" applyBorder="1" applyAlignment="1">
      <alignment horizontal="center"/>
    </xf>
    <xf numFmtId="178" fontId="0" fillId="0" borderId="44" xfId="0" applyNumberFormat="1" applyBorder="1" applyAlignment="1">
      <alignment horizontal="right"/>
    </xf>
    <xf numFmtId="178" fontId="1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0" fillId="0" borderId="42" xfId="0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/>
    </xf>
    <xf numFmtId="178" fontId="1" fillId="0" borderId="44" xfId="0" applyNumberFormat="1" applyFont="1" applyBorder="1" applyAlignment="1" applyProtection="1">
      <alignment/>
      <protection locked="0"/>
    </xf>
    <xf numFmtId="178" fontId="0" fillId="0" borderId="44" xfId="0" applyNumberFormat="1" applyFont="1" applyBorder="1" applyAlignment="1" applyProtection="1">
      <alignment/>
      <protection locked="0"/>
    </xf>
    <xf numFmtId="178" fontId="0" fillId="0" borderId="41" xfId="0" applyNumberFormat="1" applyBorder="1" applyAlignment="1">
      <alignment horizontal="right"/>
    </xf>
    <xf numFmtId="49" fontId="0" fillId="0" borderId="45" xfId="0" applyNumberFormat="1" applyBorder="1" applyAlignment="1">
      <alignment horizontal="center"/>
    </xf>
    <xf numFmtId="49" fontId="0" fillId="0" borderId="45" xfId="0" applyNumberFormat="1" applyBorder="1" applyAlignment="1">
      <alignment horizontal="left"/>
    </xf>
    <xf numFmtId="178" fontId="0" fillId="0" borderId="46" xfId="0" applyNumberFormat="1" applyBorder="1" applyAlignment="1">
      <alignment horizontal="right"/>
    </xf>
    <xf numFmtId="49" fontId="0" fillId="0" borderId="23" xfId="0" applyNumberFormat="1" applyFont="1" applyBorder="1" applyAlignment="1" applyProtection="1">
      <alignment/>
      <protection locked="0"/>
    </xf>
    <xf numFmtId="178" fontId="0" fillId="35" borderId="14" xfId="0" applyNumberFormat="1" applyFill="1" applyBorder="1" applyAlignment="1">
      <alignment textRotation="90" wrapText="1"/>
    </xf>
    <xf numFmtId="178" fontId="0" fillId="0" borderId="40" xfId="0" applyNumberFormat="1" applyBorder="1" applyAlignment="1" applyProtection="1">
      <alignment/>
      <protection locked="0"/>
    </xf>
    <xf numFmtId="178" fontId="0" fillId="0" borderId="39" xfId="0" applyNumberFormat="1" applyBorder="1" applyAlignment="1" applyProtection="1">
      <alignment/>
      <protection locked="0"/>
    </xf>
    <xf numFmtId="178" fontId="1" fillId="0" borderId="39" xfId="0" applyNumberFormat="1" applyFont="1" applyBorder="1" applyAlignment="1" applyProtection="1">
      <alignment/>
      <protection locked="0"/>
    </xf>
    <xf numFmtId="178" fontId="1" fillId="0" borderId="41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8" fontId="0" fillId="0" borderId="39" xfId="0" applyNumberFormat="1" applyFont="1" applyBorder="1" applyAlignment="1" applyProtection="1">
      <alignment/>
      <protection locked="0"/>
    </xf>
    <xf numFmtId="178" fontId="0" fillId="0" borderId="41" xfId="0" applyNumberFormat="1" applyBorder="1" applyAlignment="1" applyProtection="1">
      <alignment/>
      <protection locked="0"/>
    </xf>
    <xf numFmtId="178" fontId="0" fillId="0" borderId="39" xfId="0" applyNumberFormat="1" applyBorder="1" applyAlignment="1">
      <alignment/>
    </xf>
    <xf numFmtId="178" fontId="1" fillId="0" borderId="40" xfId="0" applyNumberFormat="1" applyFont="1" applyBorder="1" applyAlignment="1" applyProtection="1">
      <alignment/>
      <protection locked="0"/>
    </xf>
    <xf numFmtId="178" fontId="0" fillId="0" borderId="41" xfId="0" applyNumberFormat="1" applyBorder="1" applyAlignment="1">
      <alignment/>
    </xf>
    <xf numFmtId="0" fontId="0" fillId="0" borderId="0" xfId="0" applyAlignment="1">
      <alignment/>
    </xf>
    <xf numFmtId="178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78" fontId="0" fillId="0" borderId="38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47650"/>
          <a:ext cx="4743450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34</xdr:row>
      <xdr:rowOff>0</xdr:rowOff>
    </xdr:from>
    <xdr:to>
      <xdr:col>17</xdr:col>
      <xdr:colOff>9525</xdr:colOff>
      <xdr:row>38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4830425"/>
          <a:ext cx="4743450" cy="2257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133350</xdr:colOff>
      <xdr:row>1</xdr:row>
      <xdr:rowOff>161925</xdr:rowOff>
    </xdr:from>
    <xdr:to>
      <xdr:col>17</xdr:col>
      <xdr:colOff>152400</xdr:colOff>
      <xdr:row>6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400050"/>
          <a:ext cx="4743450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25" sqref="H25:H26"/>
    </sheetView>
  </sheetViews>
  <sheetFormatPr defaultColWidth="8.8515625" defaultRowHeight="12.75"/>
  <cols>
    <col min="1" max="1" width="16.421875" style="3" customWidth="1"/>
    <col min="2" max="2" width="8.8515625" style="0" customWidth="1"/>
    <col min="3" max="3" width="0" style="6" hidden="1" customWidth="1"/>
    <col min="4" max="4" width="8.28125" style="0" customWidth="1"/>
    <col min="5" max="5" width="28.7109375" style="0" customWidth="1"/>
    <col min="6" max="8" width="25.7109375" style="0" customWidth="1"/>
    <col min="9" max="12" width="17.8515625" style="0" customWidth="1"/>
  </cols>
  <sheetData>
    <row r="1" spans="1:3" ht="12.75">
      <c r="A1" s="26" t="s">
        <v>0</v>
      </c>
      <c r="B1" s="27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</row>
    <row r="2" spans="1:2" ht="13.5" thickBot="1">
      <c r="A2" s="28" t="s">
        <v>1</v>
      </c>
      <c r="B2" s="29">
        <f>IF(brevet&gt;=1200,90,IF(brevet&gt;=1000,75,IF(brevet&gt;=600,40,IF(brevet&gt;=400,27,IF(brevet&gt;=300,20,IF(brevet&gt;=200,13.5,IF(brevet&gt;=100,7,0)))))))</f>
        <v>75</v>
      </c>
    </row>
    <row r="3" spans="1:8" ht="13.5" thickBot="1">
      <c r="A3" s="28" t="s">
        <v>2</v>
      </c>
      <c r="B3" s="167" t="s">
        <v>157</v>
      </c>
      <c r="C3" s="32"/>
      <c r="D3" s="4"/>
      <c r="E3" s="4"/>
      <c r="F3" s="4"/>
      <c r="G3" s="4"/>
      <c r="H3" s="5"/>
    </row>
    <row r="4" spans="1:8" ht="12.75">
      <c r="A4" s="28" t="s">
        <v>3</v>
      </c>
      <c r="B4" s="229" t="s">
        <v>287</v>
      </c>
      <c r="C4" s="72"/>
      <c r="D4" s="73"/>
      <c r="E4" s="73"/>
      <c r="F4" s="73"/>
      <c r="G4" s="73"/>
      <c r="H4" s="73"/>
    </row>
    <row r="5" spans="1:2" ht="12.75">
      <c r="A5" s="28" t="s">
        <v>4</v>
      </c>
      <c r="B5" s="30">
        <v>40712</v>
      </c>
    </row>
    <row r="6" spans="1:2" ht="12.75" thickBot="1">
      <c r="A6" s="24" t="s">
        <v>5</v>
      </c>
      <c r="B6" s="25">
        <v>0.25</v>
      </c>
    </row>
    <row r="7" spans="4:8" ht="12.75" thickBot="1">
      <c r="D7" s="10" t="s">
        <v>6</v>
      </c>
      <c r="E7" s="11"/>
      <c r="F7" s="11"/>
      <c r="G7" s="11"/>
      <c r="H7" s="12"/>
    </row>
    <row r="8" spans="4:8" ht="8.25" customHeight="1" hidden="1" thickBot="1">
      <c r="D8" s="13"/>
      <c r="E8" s="13"/>
      <c r="F8" s="13"/>
      <c r="G8" s="13"/>
      <c r="H8" s="13"/>
    </row>
    <row r="9" spans="4:12" ht="12.75" thickBot="1">
      <c r="D9" s="14" t="s">
        <v>7</v>
      </c>
      <c r="E9" s="15" t="s">
        <v>8</v>
      </c>
      <c r="F9" s="15" t="s">
        <v>9</v>
      </c>
      <c r="G9" s="15" t="s">
        <v>10</v>
      </c>
      <c r="H9" s="16" t="s">
        <v>11</v>
      </c>
      <c r="I9" t="s">
        <v>12</v>
      </c>
      <c r="J9" t="s">
        <v>13</v>
      </c>
      <c r="K9" t="s">
        <v>14</v>
      </c>
      <c r="L9" t="s">
        <v>15</v>
      </c>
    </row>
    <row r="10" spans="3:12" ht="12">
      <c r="C10" s="6" t="s">
        <v>16</v>
      </c>
      <c r="D10" s="86">
        <v>0</v>
      </c>
      <c r="E10" s="31" t="s">
        <v>132</v>
      </c>
      <c r="F10" s="165" t="s">
        <v>133</v>
      </c>
      <c r="G10" s="166" t="s">
        <v>288</v>
      </c>
      <c r="H10" s="75"/>
      <c r="I10" s="7">
        <f>Start_date+Start_time</f>
        <v>40712.25</v>
      </c>
      <c r="J10" s="7">
        <f>I10+"1:00"</f>
        <v>40712.291666666664</v>
      </c>
      <c r="K10" s="8">
        <f>IF(ISBLANK(Distance),"",Open Control_1)</f>
        <v>40712.25</v>
      </c>
      <c r="L10" s="8">
        <f>IF(ISBLANK(Distance),"",Close Control_1)</f>
        <v>40712.291666666664</v>
      </c>
    </row>
    <row r="11" spans="3:12" ht="12">
      <c r="C11" s="6" t="s">
        <v>17</v>
      </c>
      <c r="D11" s="86">
        <f>'VI1000C 050625'!A14</f>
        <v>111.6</v>
      </c>
      <c r="E11" s="31" t="s">
        <v>127</v>
      </c>
      <c r="F11" s="74" t="s">
        <v>18</v>
      </c>
      <c r="G11" s="165" t="s">
        <v>21</v>
      </c>
      <c r="H11" s="166" t="s">
        <v>151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3.2823529411764705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7.4399999999999995</v>
      </c>
      <c r="K11" s="8">
        <f>IF(ISBLANK(Distance),"",Open_time Control_1+(INT(Open)&amp;":"&amp;IF(ROUND(((Open-INT(Open))*60),0)&lt;10,0,"")&amp;ROUND(((Open-INT(Open))*60),0)))</f>
        <v>40712.38680555556</v>
      </c>
      <c r="L11" s="8">
        <f>IF(ISBLANK(Distance),"",Open_time Control_1+(INT(Close)&amp;":"&amp;IF(ROUND(((Close-INT(Close))*60),0)&lt;10,0,"")&amp;ROUND(((Close-INT(Close))*60),0)))</f>
        <v>40712.55972222222</v>
      </c>
    </row>
    <row r="12" spans="3:12" ht="12">
      <c r="C12" s="6" t="s">
        <v>20</v>
      </c>
      <c r="D12" s="86">
        <f>'VI1000C 050625'!A22</f>
        <v>184.8</v>
      </c>
      <c r="E12" s="31" t="s">
        <v>128</v>
      </c>
      <c r="F12" s="165" t="s">
        <v>151</v>
      </c>
      <c r="G12" s="165" t="s">
        <v>153</v>
      </c>
      <c r="H12" s="166" t="s">
        <v>153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5.435294117647059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12.32</v>
      </c>
      <c r="K12" s="8">
        <f>IF(ISBLANK(Distance),"",Open_time Control_1+(INT(Open)&amp;":"&amp;IF(ROUND(((Open-INT(Open))*60),0)&lt;10,0,"")&amp;ROUND(((Open-INT(Open))*60),0)))</f>
        <v>40712.47638888889</v>
      </c>
      <c r="L12" s="8">
        <f>IF(ISBLANK(Distance),"",Open_time Control_1+(INT(Close)&amp;":"&amp;IF(ROUND(((Close-INT(Close))*60),0)&lt;10,0,"")&amp;ROUND(((Close-INT(Close))*60),0)))</f>
        <v>40712.763194444444</v>
      </c>
    </row>
    <row r="13" spans="3:12" ht="12">
      <c r="C13" s="6" t="s">
        <v>22</v>
      </c>
      <c r="D13" s="86">
        <f>'VI1000C 050625'!F5</f>
        <v>250.70000000000002</v>
      </c>
      <c r="E13" s="31" t="s">
        <v>129</v>
      </c>
      <c r="F13" s="165" t="s">
        <v>151</v>
      </c>
      <c r="G13" s="74"/>
      <c r="H13" s="75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7.466775</v>
      </c>
      <c r="J13">
        <f t="shared" si="0"/>
        <v>16.713333333333335</v>
      </c>
      <c r="K13" s="8">
        <f>IF(ISBLANK(Distance),"",Open_time Control_1+(INT(Open)&amp;":"&amp;IF(ROUND(((Open-INT(Open))*60),0)&lt;10,0,"")&amp;ROUND(((Open-INT(Open))*60),0)))</f>
        <v>40712.561111111114</v>
      </c>
      <c r="L13" s="8">
        <f>IF(ISBLANK(Distance),"",Open_time Control_1+(INT(Close)&amp;":"&amp;IF(ROUND(((Close-INT(Close))*60),0)&lt;10,0,"")&amp;ROUND(((Close-INT(Close))*60),0)))</f>
        <v>40712.94652777778</v>
      </c>
    </row>
    <row r="14" spans="3:12" ht="12">
      <c r="C14" s="6" t="s">
        <v>23</v>
      </c>
      <c r="D14" s="86">
        <f>'VI1000C 050625'!F14</f>
        <v>355.8500000000001</v>
      </c>
      <c r="E14" s="31" t="s">
        <v>130</v>
      </c>
      <c r="F14" s="165" t="s">
        <v>154</v>
      </c>
      <c r="G14" s="165" t="s">
        <v>155</v>
      </c>
      <c r="H14" s="166" t="s">
        <v>156</v>
      </c>
      <c r="I14">
        <f t="shared" si="1"/>
        <v>10.752712500000001</v>
      </c>
      <c r="J14">
        <f t="shared" si="0"/>
        <v>23.72333333333334</v>
      </c>
      <c r="K14" s="8">
        <f>IF(ISBLANK(Distance),"",Open_time Control_1+(INT(Open)&amp;":"&amp;IF(ROUND(((Open-INT(Open))*60),0)&lt;10,0,"")&amp;ROUND(((Open-INT(Open))*60),0)))</f>
        <v>40712.697916666664</v>
      </c>
      <c r="L14" s="8">
        <f>IF(ISBLANK(Distance),"",Open_time Control_1+(INT(Close)&amp;":"&amp;IF(ROUND(((Close-INT(Close))*60),0)&lt;10,0,"")&amp;ROUND(((Close-INT(Close))*60),0)))</f>
        <v>40713.23819444444</v>
      </c>
    </row>
    <row r="15" spans="3:12" ht="12">
      <c r="C15" s="6" t="s">
        <v>24</v>
      </c>
      <c r="D15" s="86">
        <f>'VI1000C 050625'!F22</f>
        <v>461.0000000000001</v>
      </c>
      <c r="E15" s="31" t="s">
        <v>129</v>
      </c>
      <c r="F15" s="165" t="s">
        <v>151</v>
      </c>
      <c r="G15" s="74"/>
      <c r="H15" s="75"/>
      <c r="I15">
        <f t="shared" si="1"/>
        <v>14.165733333333337</v>
      </c>
      <c r="J15">
        <f t="shared" si="0"/>
        <v>30.73333333333334</v>
      </c>
      <c r="K15" s="8">
        <f>IF(ISBLANK(Distance),"",Open_time Control_1+(INT(Open)&amp;":"&amp;IF(ROUND(((Open-INT(Open))*60),0)&lt;10,0,"")&amp;ROUND(((Open-INT(Open))*60),0)))</f>
        <v>40712.84027777778</v>
      </c>
      <c r="L15" s="8">
        <f>IF(ISBLANK(Distance),"",Open_time Control_1+(INT(Close)&amp;":"&amp;IF(ROUND(((Close-INT(Close))*60),0)&lt;10,0,"")&amp;ROUND(((Close-INT(Close))*60),0)))</f>
        <v>40713.53055555555</v>
      </c>
    </row>
    <row r="16" spans="3:12" ht="12">
      <c r="C16" s="6" t="s">
        <v>25</v>
      </c>
      <c r="D16" s="86">
        <f>'VI1000C 050625'!A29</f>
        <v>526.9000000000001</v>
      </c>
      <c r="E16" s="31" t="s">
        <v>128</v>
      </c>
      <c r="F16" s="165" t="s">
        <v>151</v>
      </c>
      <c r="G16" s="165" t="s">
        <v>153</v>
      </c>
      <c r="H16" s="166" t="s">
        <v>153</v>
      </c>
      <c r="I16">
        <f t="shared" si="1"/>
        <v>16.362400000000004</v>
      </c>
      <c r="J16">
        <f t="shared" si="0"/>
        <v>35.12666666666667</v>
      </c>
      <c r="K16" s="8">
        <f>IF(ISBLANK(Distance),"",Open_time Control_1+(INT(Open)&amp;":"&amp;IF(ROUND(((Open-INT(Open))*60),0)&lt;10,0,"")&amp;ROUND(((Open-INT(Open))*60),0)))</f>
        <v>40712.93194444444</v>
      </c>
      <c r="L16" s="8">
        <f>IF(ISBLANK(Distance),"",Open_time Control_1+(INT(Close)&amp;":"&amp;IF(ROUND(((Close-INT(Close))*60),0)&lt;10,0,"")&amp;ROUND(((Close-INT(Close))*60),0)))</f>
        <v>40713.71388888889</v>
      </c>
    </row>
    <row r="17" spans="3:12" ht="12">
      <c r="C17" s="6" t="s">
        <v>26</v>
      </c>
      <c r="D17" s="86">
        <f>'VI1000C 050625'!A36</f>
        <v>600.0000000000001</v>
      </c>
      <c r="E17" s="31" t="s">
        <v>127</v>
      </c>
      <c r="F17" s="74" t="s">
        <v>18</v>
      </c>
      <c r="G17" s="165" t="s">
        <v>21</v>
      </c>
      <c r="H17" s="75" t="s">
        <v>19</v>
      </c>
      <c r="I17">
        <f t="shared" si="1"/>
        <v>18.799066666666672</v>
      </c>
      <c r="J17">
        <f t="shared" si="0"/>
        <v>40.00000000000001</v>
      </c>
      <c r="K17" s="8">
        <f>IF(ISBLANK(Distance),"",Open_time Control_1+(INT(Open)&amp;":"&amp;IF(ROUND(((Open-INT(Open))*60),0)&lt;10,0,"")&amp;ROUND(((Open-INT(Open))*60),0)))</f>
        <v>40713.03333333333</v>
      </c>
      <c r="L17" s="8">
        <f>IF(ISBLANK(Distance),"",Open_time Control_1+(INT(Close)&amp;":"&amp;IF(ROUND(((Close-INT(Close))*60),0)&lt;10,0,"")&amp;ROUND(((Close-INT(Close))*60),0)))</f>
        <v>40713.916666666664</v>
      </c>
    </row>
    <row r="18" spans="3:12" ht="12">
      <c r="C18" s="6" t="s">
        <v>27</v>
      </c>
      <c r="D18" s="86">
        <f>'VI1000C 050625'!A46</f>
        <v>700.7</v>
      </c>
      <c r="E18" s="31" t="s">
        <v>131</v>
      </c>
      <c r="F18" s="74" t="s">
        <v>126</v>
      </c>
      <c r="G18" s="165" t="s">
        <v>21</v>
      </c>
      <c r="H18" s="75" t="s">
        <v>33</v>
      </c>
      <c r="I18">
        <f t="shared" si="1"/>
        <v>22.39542857142857</v>
      </c>
      <c r="J18">
        <f t="shared" si="0"/>
        <v>48.81125</v>
      </c>
      <c r="K18" s="8">
        <f>IF(ISBLANK(Distance),"",Open_time Control_1+(INT(Open)&amp;":"&amp;IF(ROUND(((Open-INT(Open))*60),0)&lt;10,0,"")&amp;ROUND(((Open-INT(Open))*60),0)))</f>
        <v>40713.183333333334</v>
      </c>
      <c r="L18" s="8">
        <f>IF(ISBLANK(Distance),"",Open_time Control_1+(INT(Close)&amp;":"&amp;IF(ROUND(((Close-INT(Close))*60),0)&lt;10,0,"")&amp;ROUND(((Close-INT(Close))*60),0)))</f>
        <v>40714.28402777778</v>
      </c>
    </row>
    <row r="19" spans="3:12" ht="12">
      <c r="C19" s="6" t="s">
        <v>29</v>
      </c>
      <c r="D19" s="86"/>
      <c r="E19" s="31" t="s">
        <v>28</v>
      </c>
      <c r="F19" s="74"/>
      <c r="G19" s="74"/>
      <c r="H19" s="75"/>
      <c r="I19">
        <f t="shared" si="1"/>
      </c>
      <c r="J19">
        <f t="shared" si="0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3:12" ht="12">
      <c r="C20" s="6" t="s">
        <v>30</v>
      </c>
      <c r="D20" s="86">
        <v>801.39</v>
      </c>
      <c r="E20" s="164" t="s">
        <v>149</v>
      </c>
      <c r="F20" s="74" t="s">
        <v>133</v>
      </c>
      <c r="G20" s="165" t="s">
        <v>150</v>
      </c>
      <c r="H20" s="75"/>
      <c r="I20">
        <f t="shared" si="1"/>
        <v>25.9915</v>
      </c>
      <c r="J20">
        <f t="shared" si="0"/>
        <v>57.621624999999995</v>
      </c>
      <c r="K20" s="8">
        <f>IF(ISBLANK(Distance),"",Open_time Control_1+(INT(Open)&amp;":"&amp;IF(ROUND(((Open-INT(Open))*60),0)&lt;10,0,"")&amp;ROUND(((Open-INT(Open))*60),0)))</f>
        <v>40713.33263888889</v>
      </c>
      <c r="L20" s="8">
        <f>IF(ISBLANK(Distance),"",Open_time Control_1+(INT(Close)&amp;":"&amp;IF(ROUND(((Close-INT(Close))*60),0)&lt;10,0,"")&amp;ROUND(((Close-INT(Close))*60),0)))</f>
        <v>40714.65069444444</v>
      </c>
    </row>
    <row r="21" spans="3:12" ht="12">
      <c r="C21" s="6" t="s">
        <v>31</v>
      </c>
      <c r="D21" s="86">
        <f>'VI1000C 050625'!F50</f>
        <v>843.3000000000001</v>
      </c>
      <c r="E21" s="164" t="s">
        <v>144</v>
      </c>
      <c r="F21" s="165" t="s">
        <v>152</v>
      </c>
      <c r="G21" s="165" t="s">
        <v>283</v>
      </c>
      <c r="H21" s="74"/>
      <c r="I21">
        <f t="shared" si="1"/>
        <v>27.488285714285716</v>
      </c>
      <c r="J21">
        <f t="shared" si="0"/>
        <v>61.28875000000001</v>
      </c>
      <c r="K21" s="8">
        <f>IF(ISBLANK(Distance),"",Open_time Control_1+(INT(Open)&amp;":"&amp;IF(ROUND(((Open-INT(Open))*60),0)&lt;10,0,"")&amp;ROUND(((Open-INT(Open))*60),0)))</f>
        <v>40713.39513888889</v>
      </c>
      <c r="L21" s="8">
        <f>IF(ISBLANK(Distance),"",Open_time Control_1+(INT(Close)&amp;":"&amp;IF(ROUND(((Close-INT(Close))*60),0)&lt;10,0,"")&amp;ROUND(((Close-INT(Close))*60),0)))</f>
        <v>40714.80347222222</v>
      </c>
    </row>
    <row r="22" spans="3:12" ht="12">
      <c r="C22" s="6" t="s">
        <v>32</v>
      </c>
      <c r="D22" s="86">
        <v>901.8</v>
      </c>
      <c r="E22" s="164" t="s">
        <v>147</v>
      </c>
      <c r="F22" s="165" t="s">
        <v>151</v>
      </c>
      <c r="G22" s="165" t="s">
        <v>284</v>
      </c>
      <c r="H22" s="75"/>
      <c r="I22">
        <f t="shared" si="1"/>
        <v>29.577571428571424</v>
      </c>
      <c r="J22">
        <f t="shared" si="0"/>
        <v>66.4075</v>
      </c>
      <c r="K22" s="8">
        <f>IF(ISBLANK(Distance),"",Open_time Control_1+(INT(Open)&amp;":"&amp;IF(ROUND(((Open-INT(Open))*60),0)&lt;10,0,"")&amp;ROUND(((Open-INT(Open))*60),0)))</f>
        <v>40713.48263888889</v>
      </c>
      <c r="L22" s="8">
        <f>IF(ISBLANK(Distance),"",Open_time Control_1+(INT(Close)&amp;":"&amp;IF(ROUND(((Close-INT(Close))*60),0)&lt;10,0,"")&amp;ROUND(((Close-INT(Close))*60),0)))</f>
        <v>40715.01666666667</v>
      </c>
    </row>
    <row r="23" spans="3:12" ht="12">
      <c r="C23" s="6" t="s">
        <v>34</v>
      </c>
      <c r="D23" s="86">
        <v>1007.3</v>
      </c>
      <c r="E23" s="31" t="s">
        <v>132</v>
      </c>
      <c r="F23" s="165" t="s">
        <v>133</v>
      </c>
      <c r="G23" s="166" t="s">
        <v>288</v>
      </c>
      <c r="H23" s="75"/>
      <c r="I23">
        <f t="shared" si="1"/>
        <v>33.36546923076923</v>
      </c>
      <c r="J23">
        <f t="shared" si="0"/>
        <v>75</v>
      </c>
      <c r="K23" s="8">
        <f>IF(ISBLANK(Distance),"",Open_time Control_1+(INT(Open)&amp;":"&amp;IF(ROUND(((Open-INT(Open))*60),0)&lt;10,0,"")&amp;ROUND(((Open-INT(Open))*60),0)))</f>
        <v>40713.64027777778</v>
      </c>
      <c r="L23" s="8">
        <f>IF(ISBLANK(Distance),"",Open_time Control_1+(INT(Close)&amp;":"&amp;IF(ROUND(((Close-INT(Close))*60),0)&lt;10,0,"")&amp;ROUND(((Close-INT(Close))*60),0)))</f>
        <v>40715.375</v>
      </c>
    </row>
    <row r="24" spans="3:12" ht="12">
      <c r="C24" s="6" t="s">
        <v>35</v>
      </c>
      <c r="D24" s="86"/>
      <c r="E24" s="31"/>
      <c r="F24" s="74"/>
      <c r="G24" s="74"/>
      <c r="H24" s="75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">
      <c r="C25" s="6" t="s">
        <v>36</v>
      </c>
      <c r="D25" s="86"/>
      <c r="E25" s="31"/>
      <c r="F25" s="74"/>
      <c r="G25" s="74"/>
      <c r="H25" s="75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">
      <c r="C26" s="6" t="s">
        <v>37</v>
      </c>
      <c r="D26" s="86"/>
      <c r="E26" s="31"/>
      <c r="F26" s="74"/>
      <c r="G26" s="75"/>
      <c r="H26" s="75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">
      <c r="C27" s="6" t="s">
        <v>38</v>
      </c>
      <c r="D27" s="86"/>
      <c r="E27" s="31"/>
      <c r="F27" s="74"/>
      <c r="G27" s="74"/>
      <c r="H27" s="75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">
      <c r="C28" s="6" t="s">
        <v>39</v>
      </c>
      <c r="D28" s="86"/>
      <c r="E28" s="31" t="s">
        <v>28</v>
      </c>
      <c r="F28" s="74"/>
      <c r="G28" s="74"/>
      <c r="H28" s="75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2.75" thickBot="1">
      <c r="C29" s="6" t="s">
        <v>40</v>
      </c>
      <c r="D29" s="87"/>
      <c r="E29" s="120" t="s">
        <v>28</v>
      </c>
      <c r="F29" s="76"/>
      <c r="G29" s="76"/>
      <c r="H29" s="77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</sheetData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="75" zoomScaleNormal="75" workbookViewId="0" topLeftCell="C13">
      <selection activeCell="E8" sqref="E8"/>
    </sheetView>
  </sheetViews>
  <sheetFormatPr defaultColWidth="8.8515625" defaultRowHeight="12.75"/>
  <cols>
    <col min="1" max="1" width="9.28125" style="2" customWidth="1"/>
    <col min="2" max="2" width="12.421875" style="0" bestFit="1" customWidth="1"/>
    <col min="3" max="3" width="12.28125" style="0" bestFit="1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96" customWidth="1"/>
    <col min="9" max="9" width="8.7109375" style="0" customWidth="1"/>
    <col min="10" max="18" width="8.8515625" style="0" customWidth="1"/>
    <col min="19" max="19" width="10.8515625" style="0" bestFit="1" customWidth="1"/>
  </cols>
  <sheetData>
    <row r="1" spans="1:8" ht="18.75" thickBot="1">
      <c r="A1" s="17" t="s">
        <v>41</v>
      </c>
      <c r="B1" s="9"/>
      <c r="C1" s="9"/>
      <c r="D1" s="9"/>
      <c r="E1" s="9"/>
      <c r="F1" s="9"/>
      <c r="G1" s="9"/>
      <c r="H1" s="95" t="s">
        <v>42</v>
      </c>
    </row>
    <row r="2" spans="1:14" ht="33.75" customHeight="1" thickBot="1">
      <c r="A2" s="18" t="s">
        <v>43</v>
      </c>
      <c r="B2" s="19" t="s">
        <v>12</v>
      </c>
      <c r="C2" s="19" t="s">
        <v>13</v>
      </c>
      <c r="D2" s="19" t="s">
        <v>8</v>
      </c>
      <c r="E2" s="19" t="s">
        <v>44</v>
      </c>
      <c r="F2" s="19" t="s">
        <v>45</v>
      </c>
      <c r="G2" s="18" t="s">
        <v>46</v>
      </c>
      <c r="H2" s="95" t="s">
        <v>42</v>
      </c>
      <c r="N2" s="1"/>
    </row>
    <row r="3" spans="1:14" ht="36" customHeight="1">
      <c r="A3" s="92"/>
      <c r="B3" s="89">
        <f>Control_1 Open_time</f>
        <v>40712.25</v>
      </c>
      <c r="C3" s="89">
        <f>Control_1 Close_time</f>
        <v>40712.291666666664</v>
      </c>
      <c r="D3" s="125"/>
      <c r="E3" s="88" t="str">
        <f>IF(ISBLANK(Control_1 Establishment_1),"",Control_1 Establishment_1)</f>
        <v>Tim Horton's</v>
      </c>
      <c r="F3" s="21"/>
      <c r="G3" s="20"/>
      <c r="H3" s="95" t="s">
        <v>42</v>
      </c>
      <c r="K3" s="33"/>
      <c r="N3" s="1"/>
    </row>
    <row r="4" spans="1:14" ht="36" customHeight="1">
      <c r="A4" s="153">
        <f>IF(ISBLANK(Distance Control_1),"",Control_1 Distance)</f>
        <v>0</v>
      </c>
      <c r="B4" s="154">
        <f>Control_1 Open_time</f>
        <v>40712.25</v>
      </c>
      <c r="C4" s="154">
        <f>Control_1 Close_time</f>
        <v>40712.291666666664</v>
      </c>
      <c r="D4" s="155" t="str">
        <f>IF(ISBLANK(Locale Control_1),"",Locale Control_1)</f>
        <v>PARKSVILLE</v>
      </c>
      <c r="E4" s="88" t="str">
        <f>IF(ISBLANK(Control_1 Establishment_2),"",Control_1 Establishment_2)</f>
        <v>494 Highway #19A </v>
      </c>
      <c r="F4" s="21"/>
      <c r="G4" s="20"/>
      <c r="H4" s="95" t="s">
        <v>42</v>
      </c>
      <c r="K4" s="33"/>
      <c r="N4" s="1"/>
    </row>
    <row r="5" spans="1:11" ht="36" customHeight="1" thickBot="1">
      <c r="A5" s="93"/>
      <c r="B5" s="90">
        <f>Control_1 Open_time</f>
        <v>40712.25</v>
      </c>
      <c r="C5" s="90">
        <f>Control_1 Close_time</f>
        <v>40712.291666666664</v>
      </c>
      <c r="D5" s="126"/>
      <c r="E5" s="91">
        <f>IF(ISBLANK(Control_1 Establishment_3),"",Control_1 Establishment_3)</f>
      </c>
      <c r="F5" s="23"/>
      <c r="G5" s="22"/>
      <c r="H5" s="95" t="s">
        <v>42</v>
      </c>
      <c r="K5" s="33"/>
    </row>
    <row r="6" spans="1:11" ht="36" customHeight="1">
      <c r="A6" s="92"/>
      <c r="B6" s="89">
        <f>Control_2 Open_time</f>
        <v>40712.38680555556</v>
      </c>
      <c r="C6" s="89">
        <f>Control_2 Close_time</f>
        <v>40712.55972222222</v>
      </c>
      <c r="D6" s="127"/>
      <c r="E6" s="88" t="str">
        <f>IF(ISBLANK(Control_2 Establishment_1),"",Control_2 Establishment_1)</f>
        <v>7-11</v>
      </c>
      <c r="F6" s="21"/>
      <c r="G6" s="20"/>
      <c r="H6" s="95" t="s">
        <v>42</v>
      </c>
      <c r="K6" s="33"/>
    </row>
    <row r="7" spans="1:11" ht="36" customHeight="1">
      <c r="A7" s="153">
        <f>IF(ISBLANK(Distance Control_2),"",Control_2 Distance)</f>
        <v>111.6</v>
      </c>
      <c r="B7" s="154">
        <f>Control_2 Open_time</f>
        <v>40712.38680555556</v>
      </c>
      <c r="C7" s="154">
        <f>Control_2 Close_time</f>
        <v>40712.55972222222</v>
      </c>
      <c r="D7" s="155" t="str">
        <f>IF(ISBLANK(Locale Control_2),"",Locale Control_2)</f>
        <v>WILLOW POINT</v>
      </c>
      <c r="E7" s="88" t="str">
        <f>IF(ISBLANK(Control_2 Establishment_2),"",Control_2 Establishment_2)</f>
        <v>Highway #19A</v>
      </c>
      <c r="F7" s="21"/>
      <c r="G7" s="20"/>
      <c r="H7" s="95" t="s">
        <v>42</v>
      </c>
      <c r="K7" s="33"/>
    </row>
    <row r="8" spans="1:20" ht="36" customHeight="1" thickBot="1">
      <c r="A8" s="93"/>
      <c r="B8" s="90">
        <f>Control_2 Open_time</f>
        <v>40712.38680555556</v>
      </c>
      <c r="C8" s="90">
        <f>Control_2 Close_time</f>
        <v>40712.55972222222</v>
      </c>
      <c r="D8" s="126"/>
      <c r="E8" s="91" t="str">
        <f>IF(ISBLANK(Control_2 Establishment_3),"",Control_2 Establishment_3)</f>
        <v>Rider's Choice</v>
      </c>
      <c r="F8" s="23"/>
      <c r="G8" s="22"/>
      <c r="H8" s="95" t="s">
        <v>42</v>
      </c>
      <c r="J8" s="36" t="s">
        <v>47</v>
      </c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19" ht="36" customHeight="1">
      <c r="A9" s="92"/>
      <c r="B9" s="89">
        <f>Control_3 Open_time</f>
        <v>40712.47638888889</v>
      </c>
      <c r="C9" s="89">
        <f>Control_3 Close_time</f>
        <v>40712.763194444444</v>
      </c>
      <c r="D9" s="127"/>
      <c r="E9" s="88" t="str">
        <f>IF(ISBLANK(Control_3 Establishment_1),"",Control_3 Establishment_1)</f>
        <v>Rider's Choice</v>
      </c>
      <c r="F9" s="21"/>
      <c r="G9" s="20"/>
      <c r="H9" s="95" t="s">
        <v>42</v>
      </c>
      <c r="J9" s="41" t="str">
        <f>IF(ISBLANK(brevet),"",brevet&amp;" km Randonnée")</f>
        <v>1000 km Randonnée</v>
      </c>
      <c r="K9" s="42"/>
      <c r="L9" s="34"/>
      <c r="M9" s="34"/>
      <c r="N9" s="34"/>
      <c r="O9" s="34"/>
      <c r="P9" s="34"/>
      <c r="Q9" s="34"/>
      <c r="R9" s="34"/>
      <c r="S9" s="34"/>
    </row>
    <row r="10" spans="1:20" ht="36" customHeight="1">
      <c r="A10" s="153">
        <f>IF(ISBLANK(Distance Control_3),"",Control_3 Distance)</f>
        <v>184.8</v>
      </c>
      <c r="B10" s="154">
        <f>Control_3 Open_time</f>
        <v>40712.47638888889</v>
      </c>
      <c r="C10" s="154">
        <f>Control_3 Close_time</f>
        <v>40712.763194444444</v>
      </c>
      <c r="D10" s="155" t="str">
        <f>IF(ISBLANK(Locale Control_3),"",Locale Control_3)</f>
        <v>SAYWARD JUNCTION</v>
      </c>
      <c r="E10" s="88" t="str">
        <f>IF(ISBLANK(Control_3 Establishment_2),"",Control_3 Establishment_2)</f>
        <v>Highway #19</v>
      </c>
      <c r="F10" s="21"/>
      <c r="G10" s="20"/>
      <c r="H10" s="95" t="s">
        <v>42</v>
      </c>
      <c r="J10" s="40" t="str">
        <f>IF(ISBLANK(Brevet_Description),"",Brevet_Description)</f>
        <v>Parksville - Port Hardy - Youbou - Parksville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36" customHeight="1" thickBot="1">
      <c r="A11" s="93"/>
      <c r="B11" s="90">
        <f>Control_3 Open_time</f>
        <v>40712.47638888889</v>
      </c>
      <c r="C11" s="90">
        <f>Control_3 Close_time</f>
        <v>40712.763194444444</v>
      </c>
      <c r="D11" s="126"/>
      <c r="E11" s="91" t="str">
        <f>IF(ISBLANK(Control_3 Establishment_3),"",Control_3 Establishment_3)</f>
        <v>Highway #19</v>
      </c>
      <c r="F11" s="23"/>
      <c r="G11" s="22"/>
      <c r="H11" s="95" t="s">
        <v>42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36" customHeight="1" thickBot="1">
      <c r="A12" s="92"/>
      <c r="B12" s="89">
        <f>Control_4 Open_time</f>
        <v>40712.561111111114</v>
      </c>
      <c r="C12" s="89">
        <f>Control_4 Close_time</f>
        <v>40712.94652777778</v>
      </c>
      <c r="D12" s="127"/>
      <c r="E12" s="88" t="str">
        <f>IF(ISBLANK(Control_4 Establishment_1),"",Control_4 Establishment_1)</f>
        <v>Rider's Choice</v>
      </c>
      <c r="F12" s="21"/>
      <c r="G12" s="20"/>
      <c r="H12" s="95" t="s">
        <v>42</v>
      </c>
      <c r="J12" s="37" t="s">
        <v>48</v>
      </c>
      <c r="L12" s="108" t="str">
        <f>IF(ISBLANK(Surname),"",First_Name&amp;" "&amp;Initial&amp;" "&amp;Surname)</f>
        <v>  </v>
      </c>
      <c r="M12" s="54"/>
      <c r="N12" s="54"/>
      <c r="O12" s="54"/>
      <c r="P12" s="54"/>
      <c r="Q12" s="54"/>
      <c r="R12" s="54"/>
      <c r="S12" s="54"/>
      <c r="T12" s="53"/>
    </row>
    <row r="13" spans="1:20" ht="36" customHeight="1" thickBot="1">
      <c r="A13" s="153">
        <f>IF(ISBLANK(Distance Control_4),"",Control_4 Distance)</f>
        <v>250.70000000000002</v>
      </c>
      <c r="B13" s="154">
        <f>Control_4 Open_time</f>
        <v>40712.561111111114</v>
      </c>
      <c r="C13" s="154">
        <f>Control_4 Close_time</f>
        <v>40712.94652777778</v>
      </c>
      <c r="D13" s="155" t="str">
        <f>IF(ISBLANK(Locale Control_4),"",Locale Control_4)</f>
        <v>WOSS CAMP</v>
      </c>
      <c r="E13" s="88">
        <f>IF(ISBLANK(Control_4 Establishment_2),"",Control_4 Establishment_2)</f>
      </c>
      <c r="F13" s="21"/>
      <c r="G13" s="20"/>
      <c r="H13" s="95" t="s">
        <v>42</v>
      </c>
      <c r="J13" s="37" t="s">
        <v>49</v>
      </c>
      <c r="K13" s="37"/>
      <c r="L13" s="106">
        <f>IF(ISBLANK(Address_1),"",Address_1)</f>
      </c>
      <c r="M13" s="55"/>
      <c r="N13" s="55"/>
      <c r="O13" s="55"/>
      <c r="P13" s="55"/>
      <c r="Q13" s="55"/>
      <c r="R13" s="55"/>
      <c r="S13" s="55"/>
      <c r="T13" s="51"/>
    </row>
    <row r="14" spans="1:20" ht="36" customHeight="1" thickBot="1">
      <c r="A14" s="93"/>
      <c r="B14" s="90">
        <f>Control_4 Open_time</f>
        <v>40712.561111111114</v>
      </c>
      <c r="C14" s="90">
        <f>Control_4 Close_time</f>
        <v>40712.94652777778</v>
      </c>
      <c r="D14" s="126"/>
      <c r="E14" s="91">
        <f>IF(ISBLANK(Control_4 Establishment_3),"",Control_4 Establishment_3)</f>
      </c>
      <c r="F14" s="23"/>
      <c r="G14" s="22"/>
      <c r="H14" s="95" t="s">
        <v>42</v>
      </c>
      <c r="J14" s="37"/>
      <c r="K14" s="37"/>
      <c r="L14" s="106">
        <f>IF(ISBLANK(Address_2),"",Address_2)</f>
      </c>
      <c r="M14" s="55"/>
      <c r="N14" s="55"/>
      <c r="O14" s="55"/>
      <c r="P14" s="55"/>
      <c r="Q14" s="55"/>
      <c r="R14" s="55"/>
      <c r="S14" s="55"/>
      <c r="T14" s="51"/>
    </row>
    <row r="15" spans="1:20" ht="36" customHeight="1" thickBot="1">
      <c r="A15" s="92"/>
      <c r="B15" s="89">
        <f>Control_5 Open_time</f>
        <v>40712.697916666664</v>
      </c>
      <c r="C15" s="89">
        <f>Control_5 Close_time</f>
        <v>40713.23819444444</v>
      </c>
      <c r="D15" s="127"/>
      <c r="E15" s="88" t="str">
        <f>IF(ISBLANK(Control_5 Establishment_1),"",Control_5 Establishment_1)</f>
        <v>Providence Inn</v>
      </c>
      <c r="F15" s="21"/>
      <c r="G15" s="20"/>
      <c r="H15" s="95" t="s">
        <v>42</v>
      </c>
      <c r="J15" s="37" t="s">
        <v>50</v>
      </c>
      <c r="K15" s="37"/>
      <c r="L15" s="106">
        <f>IF(ISBLANK(City),"",City)</f>
      </c>
      <c r="M15" s="55"/>
      <c r="N15" s="55"/>
      <c r="O15" s="56"/>
      <c r="P15" s="56" t="s">
        <v>51</v>
      </c>
      <c r="Q15" s="56"/>
      <c r="R15" s="56"/>
      <c r="S15" s="106">
        <f>IF(ISBLANK(Province_State),"",Province_State)</f>
      </c>
      <c r="T15" s="51"/>
    </row>
    <row r="16" spans="1:20" ht="36" customHeight="1" thickBot="1">
      <c r="A16" s="153">
        <f>IF(ISBLANK(Distance Control_5),"",Control_5 Distance)</f>
        <v>355.8500000000001</v>
      </c>
      <c r="B16" s="154">
        <f>Control_5 Open_time</f>
        <v>40712.697916666664</v>
      </c>
      <c r="C16" s="154">
        <f>Control_5 Close_time</f>
        <v>40713.23819444444</v>
      </c>
      <c r="D16" s="155" t="str">
        <f>IF(ISBLANK(Locale Control_5),"",Locale Control_5)</f>
        <v>PORT HARDY</v>
      </c>
      <c r="E16" s="88" t="str">
        <f>IF(ISBLANK(Control_5 Establishment_2),"",Control_5 Establishment_2)</f>
        <v>Granville &amp; Rupert</v>
      </c>
      <c r="F16" s="21"/>
      <c r="G16" s="20"/>
      <c r="H16" s="95" t="s">
        <v>42</v>
      </c>
      <c r="J16" s="37" t="s">
        <v>52</v>
      </c>
      <c r="K16" s="37"/>
      <c r="L16" s="106">
        <f>IF(ISBLANK(Country),"",Country)</f>
      </c>
      <c r="M16" s="55"/>
      <c r="N16" s="55"/>
      <c r="O16" s="56"/>
      <c r="P16" s="56" t="s">
        <v>53</v>
      </c>
      <c r="Q16" s="56"/>
      <c r="R16" s="56"/>
      <c r="S16" s="128">
        <f>IF(ISBLANK(Postal_Code),"",Postal_Code)</f>
      </c>
      <c r="T16" s="51"/>
    </row>
    <row r="17" spans="1:19" ht="36" customHeight="1" thickBot="1">
      <c r="A17" s="93"/>
      <c r="B17" s="90">
        <f>Control_5 Open_time</f>
        <v>40712.697916666664</v>
      </c>
      <c r="C17" s="90">
        <f>Control_5 Close_time</f>
        <v>40713.23819444444</v>
      </c>
      <c r="D17" s="126"/>
      <c r="E17" s="91" t="str">
        <f>IF(ISBLANK(Control_5 Establishment_3),"",Control_5 Establishment_3)</f>
        <v>LOOK FOR SIGN!</v>
      </c>
      <c r="F17" s="23"/>
      <c r="G17" s="22"/>
      <c r="H17" s="95" t="s">
        <v>42</v>
      </c>
      <c r="L17" s="57"/>
      <c r="M17" s="57"/>
      <c r="N17" s="57"/>
      <c r="O17" s="57"/>
      <c r="P17" s="57"/>
      <c r="Q17" s="57"/>
      <c r="R17" s="57"/>
      <c r="S17" s="57"/>
    </row>
    <row r="18" spans="1:20" ht="36" customHeight="1" thickBot="1">
      <c r="A18" s="92"/>
      <c r="B18" s="89">
        <f>Control_6 Open_time</f>
        <v>40712.84027777778</v>
      </c>
      <c r="C18" s="89">
        <f>Control_6 Close_time</f>
        <v>40713.53055555555</v>
      </c>
      <c r="D18" s="127"/>
      <c r="E18" s="88" t="str">
        <f>IF(ISBLANK(Control_6 Establishment_1),"",Control_6 Establishment_1)</f>
        <v>Rider's Choice</v>
      </c>
      <c r="F18" s="21"/>
      <c r="G18" s="20"/>
      <c r="H18" s="95" t="s">
        <v>42</v>
      </c>
      <c r="J18" s="37" t="s">
        <v>54</v>
      </c>
      <c r="L18" s="105">
        <f>IF(ISBLANK(Home_telephone),"",Home_telephone)</f>
      </c>
      <c r="M18" s="129"/>
      <c r="N18" s="129"/>
      <c r="O18" s="57"/>
      <c r="P18" s="56" t="s">
        <v>55</v>
      </c>
      <c r="Q18" s="128">
        <f>IF(ISBLANK(email),"",email)</f>
      </c>
      <c r="R18" s="58"/>
      <c r="S18" s="58"/>
      <c r="T18" s="52"/>
    </row>
    <row r="19" spans="1:19" ht="36" customHeight="1">
      <c r="A19" s="153">
        <f>IF(ISBLANK(Distance Control_6),"",Control_6 Distance)</f>
        <v>461.0000000000001</v>
      </c>
      <c r="B19" s="154">
        <f>Control_6 Open_time</f>
        <v>40712.84027777778</v>
      </c>
      <c r="C19" s="154">
        <f>Control_6 Close_time</f>
        <v>40713.53055555555</v>
      </c>
      <c r="D19" s="155" t="str">
        <f>IF(ISBLANK(Locale Control_6),"",Locale Control_6)</f>
        <v>WOSS CAMP</v>
      </c>
      <c r="E19" s="88">
        <f>IF(ISBLANK(Control_6 Establishment_2),"",Control_6 Establishment_2)</f>
      </c>
      <c r="F19" s="21"/>
      <c r="G19" s="20"/>
      <c r="H19" s="95" t="s">
        <v>42</v>
      </c>
      <c r="L19" s="57"/>
      <c r="M19" s="57"/>
      <c r="N19" s="57"/>
      <c r="O19" s="57"/>
      <c r="P19" s="57"/>
      <c r="Q19" s="57"/>
      <c r="R19" s="57"/>
      <c r="S19" s="57"/>
    </row>
    <row r="20" spans="1:20" ht="36" customHeight="1" thickBot="1">
      <c r="A20" s="93"/>
      <c r="B20" s="90">
        <f>Control_6 Open_time</f>
        <v>40712.84027777778</v>
      </c>
      <c r="C20" s="90">
        <f>Control_6 Close_time</f>
        <v>40713.53055555555</v>
      </c>
      <c r="D20" s="126"/>
      <c r="E20" s="91">
        <f>IF(ISBLANK(Control_6 Establishment_3),"",Control_6 Establishment_3)</f>
      </c>
      <c r="F20" s="23"/>
      <c r="G20" s="22"/>
      <c r="H20" s="95" t="s">
        <v>42</v>
      </c>
      <c r="J20" s="44" t="s">
        <v>56</v>
      </c>
      <c r="K20" s="44"/>
      <c r="L20" s="59"/>
      <c r="M20" s="60"/>
      <c r="N20" s="59"/>
      <c r="O20" s="59"/>
      <c r="P20" s="59"/>
      <c r="Q20" s="59"/>
      <c r="R20" s="59"/>
      <c r="S20" s="59"/>
      <c r="T20" s="44"/>
    </row>
    <row r="21" spans="1:20" ht="36" customHeight="1">
      <c r="A21" s="92"/>
      <c r="B21" s="89">
        <f>Control_7 Open_time</f>
        <v>40712.93194444444</v>
      </c>
      <c r="C21" s="89">
        <f>Control_7 Close_time</f>
        <v>40713.71388888889</v>
      </c>
      <c r="D21" s="127"/>
      <c r="E21" s="88" t="str">
        <f>IF(ISBLANK(Control_7 Establishment_1),"",Control_7 Establishment_1)</f>
        <v>Rider's Choice</v>
      </c>
      <c r="F21" s="21"/>
      <c r="G21" s="20"/>
      <c r="H21" s="95" t="s">
        <v>42</v>
      </c>
      <c r="J21" s="44" t="s">
        <v>57</v>
      </c>
      <c r="K21" s="44"/>
      <c r="L21" s="59"/>
      <c r="M21" s="59"/>
      <c r="N21" s="59"/>
      <c r="O21" s="59"/>
      <c r="P21" s="59"/>
      <c r="Q21" s="59"/>
      <c r="R21" s="59"/>
      <c r="S21" s="59"/>
      <c r="T21" s="44"/>
    </row>
    <row r="22" spans="1:19" ht="36" customHeight="1">
      <c r="A22" s="153">
        <f>IF(ISBLANK(Distance Control_7),"",Control_7 Distance)</f>
        <v>526.9000000000001</v>
      </c>
      <c r="B22" s="154">
        <f>Control_7 Open_time</f>
        <v>40712.93194444444</v>
      </c>
      <c r="C22" s="154">
        <f>Control_7 Close_time</f>
        <v>40713.71388888889</v>
      </c>
      <c r="D22" s="155" t="str">
        <f>IF(ISBLANK(Locale Control_7),"",Locale Control_7)</f>
        <v>SAYWARD JUNCTION</v>
      </c>
      <c r="E22" s="88" t="str">
        <f>IF(ISBLANK(Control_7 Establishment_2),"",Control_7 Establishment_2)</f>
        <v>Highway #19</v>
      </c>
      <c r="F22" s="21"/>
      <c r="G22" s="20"/>
      <c r="H22" s="95" t="s">
        <v>42</v>
      </c>
      <c r="L22" s="57"/>
      <c r="M22" s="57"/>
      <c r="N22" s="57"/>
      <c r="O22" s="57"/>
      <c r="P22" s="57"/>
      <c r="Q22" s="57"/>
      <c r="R22" s="57"/>
      <c r="S22" s="57"/>
    </row>
    <row r="23" spans="1:20" ht="36" customHeight="1" thickBot="1">
      <c r="A23" s="93"/>
      <c r="B23" s="90">
        <f>Control_7 Open_time</f>
        <v>40712.93194444444</v>
      </c>
      <c r="C23" s="90">
        <f>Control_7 Close_time</f>
        <v>40713.71388888889</v>
      </c>
      <c r="D23" s="126"/>
      <c r="E23" s="91" t="str">
        <f>IF(ISBLANK(Control_7 Establishment_3),"",Control_7 Establishment_3)</f>
        <v>Highway #19</v>
      </c>
      <c r="F23" s="23"/>
      <c r="G23" s="22"/>
      <c r="H23" s="95" t="s">
        <v>42</v>
      </c>
      <c r="J23" s="49" t="s">
        <v>58</v>
      </c>
      <c r="K23" s="49"/>
      <c r="L23" s="61"/>
      <c r="M23" s="61"/>
      <c r="N23" s="61"/>
      <c r="O23" s="61"/>
      <c r="P23" s="61"/>
      <c r="Q23" s="61"/>
      <c r="R23" s="61"/>
      <c r="S23" s="61"/>
      <c r="T23" s="49"/>
    </row>
    <row r="24" spans="1:20" ht="36" customHeight="1" thickBot="1">
      <c r="A24" s="92"/>
      <c r="B24" s="89">
        <f>Control_8 Open_time</f>
        <v>40713.03333333333</v>
      </c>
      <c r="C24" s="89">
        <f>Control_8 Close_time</f>
        <v>40713.916666666664</v>
      </c>
      <c r="D24" s="127"/>
      <c r="E24" s="88" t="str">
        <f>IF(ISBLANK(Control_8 Establishment_1),"",Control_8 Establishment_1)</f>
        <v>7-11</v>
      </c>
      <c r="F24" s="21"/>
      <c r="G24" s="20"/>
      <c r="H24" s="95" t="s">
        <v>42</v>
      </c>
      <c r="J24" s="37" t="s">
        <v>59</v>
      </c>
      <c r="K24" s="45">
        <f>IF(ISBLANK(Start_date),"",Start_date)</f>
        <v>40712</v>
      </c>
      <c r="L24" s="62"/>
      <c r="M24" s="62"/>
      <c r="N24" s="57"/>
      <c r="O24" s="56" t="s">
        <v>60</v>
      </c>
      <c r="P24" s="57"/>
      <c r="Q24" s="58"/>
      <c r="R24" s="58"/>
      <c r="S24" s="58"/>
      <c r="T24" s="43"/>
    </row>
    <row r="25" spans="1:20" ht="36" customHeight="1" thickBot="1">
      <c r="A25" s="153">
        <f>IF(ISBLANK(Distance Control_8),"",Control_8 Distance)</f>
        <v>600.0000000000001</v>
      </c>
      <c r="B25" s="154">
        <f>Control_8 Open_time</f>
        <v>40713.03333333333</v>
      </c>
      <c r="C25" s="154">
        <f>Control_8 Close_time</f>
        <v>40713.916666666664</v>
      </c>
      <c r="D25" s="155" t="str">
        <f>IF(ISBLANK(Locale Control_8),"",Locale Control_8)</f>
        <v>WILLOW POINT</v>
      </c>
      <c r="E25" s="88" t="str">
        <f>IF(ISBLANK(Control_8 Establishment_2),"",Control_8 Establishment_2)</f>
        <v>Highway #19A</v>
      </c>
      <c r="F25" s="21"/>
      <c r="G25" s="20"/>
      <c r="H25" s="95" t="s">
        <v>42</v>
      </c>
      <c r="L25" s="57"/>
      <c r="M25" s="57"/>
      <c r="N25" s="57"/>
      <c r="O25" s="56" t="s">
        <v>61</v>
      </c>
      <c r="P25" s="57"/>
      <c r="Q25" s="58"/>
      <c r="R25" s="58"/>
      <c r="S25" s="58"/>
      <c r="T25" s="43"/>
    </row>
    <row r="26" spans="1:20" ht="36" customHeight="1" thickBot="1">
      <c r="A26" s="93"/>
      <c r="B26" s="90">
        <f>Control_8 Open_time</f>
        <v>40713.03333333333</v>
      </c>
      <c r="C26" s="90">
        <f>Control_8 Close_time</f>
        <v>40713.916666666664</v>
      </c>
      <c r="D26" s="126"/>
      <c r="E26" s="91" t="str">
        <f>IF(ISBLANK(Control_8 Establishment_3),"",Control_8 Establishment_3)</f>
        <v>Hilchey</v>
      </c>
      <c r="F26" s="23"/>
      <c r="G26" s="22"/>
      <c r="H26" s="95" t="s">
        <v>42</v>
      </c>
      <c r="J26" s="43"/>
      <c r="K26" s="43"/>
      <c r="L26" s="58"/>
      <c r="M26" s="58"/>
      <c r="N26" s="57"/>
      <c r="O26" s="56" t="s">
        <v>62</v>
      </c>
      <c r="P26" s="57"/>
      <c r="Q26" s="58"/>
      <c r="R26" s="58"/>
      <c r="S26" s="58"/>
      <c r="T26" s="43"/>
    </row>
    <row r="27" spans="1:19" ht="36" customHeight="1">
      <c r="A27" s="92"/>
      <c r="B27" s="89">
        <f>Control_9 Open_time</f>
        <v>40713.183333333334</v>
      </c>
      <c r="C27" s="89">
        <f>Control_9 Close_time</f>
        <v>40714.28402777778</v>
      </c>
      <c r="D27" s="127"/>
      <c r="E27" s="88" t="str">
        <f>IF(ISBLANK(Control_9 Establishment_1),"",Control_9 Establishment_1)</f>
        <v>Shell Gas</v>
      </c>
      <c r="F27" s="21"/>
      <c r="G27" s="20"/>
      <c r="H27" s="95" t="s">
        <v>42</v>
      </c>
      <c r="J27" s="46" t="s">
        <v>63</v>
      </c>
      <c r="K27" s="46"/>
      <c r="L27" s="63"/>
      <c r="M27" s="63"/>
      <c r="N27" s="57"/>
      <c r="O27" s="57"/>
      <c r="P27" s="57"/>
      <c r="Q27" s="57"/>
      <c r="R27" s="57"/>
      <c r="S27" s="57"/>
    </row>
    <row r="28" spans="1:19" ht="36" customHeight="1" thickBot="1">
      <c r="A28" s="153">
        <f>IF(ISBLANK(Distance Control_9),"",Control_9 Distance)</f>
        <v>700.7</v>
      </c>
      <c r="B28" s="154">
        <f>Control_9 Open_time</f>
        <v>40713.183333333334</v>
      </c>
      <c r="C28" s="154">
        <f>Control_9 Close_time</f>
        <v>40714.28402777778</v>
      </c>
      <c r="D28" s="155" t="str">
        <f>IF(ISBLANK(Locale Control_9),"",Locale Control_9)</f>
        <v>QUALICUM BEACH</v>
      </c>
      <c r="E28" s="88" t="str">
        <f>IF(ISBLANK(Control_9 Establishment_2),"",Control_9 Establishment_2)</f>
        <v>Highway #19A</v>
      </c>
      <c r="F28" s="21"/>
      <c r="G28" s="20"/>
      <c r="H28" s="95" t="s">
        <v>42</v>
      </c>
      <c r="L28" s="61" t="s">
        <v>64</v>
      </c>
      <c r="M28" s="61"/>
      <c r="N28" s="61"/>
      <c r="O28" s="61"/>
      <c r="P28" s="61"/>
      <c r="Q28" s="61"/>
      <c r="R28" s="57"/>
      <c r="S28" s="57"/>
    </row>
    <row r="29" spans="1:19" ht="36" customHeight="1" thickBot="1">
      <c r="A29" s="93"/>
      <c r="B29" s="90">
        <f>Control_9 Open_time</f>
        <v>40713.183333333334</v>
      </c>
      <c r="C29" s="90">
        <f>Control_9 Close_time</f>
        <v>40714.28402777778</v>
      </c>
      <c r="D29" s="126"/>
      <c r="E29" s="91" t="str">
        <f>IF(ISBLANK(Control_9 Establishment_3),"",Control_9 Establishment_3)</f>
        <v>Memorial</v>
      </c>
      <c r="F29" s="23"/>
      <c r="G29" s="22"/>
      <c r="H29" s="95" t="s">
        <v>42</v>
      </c>
      <c r="K29" s="47"/>
      <c r="L29" s="64"/>
      <c r="M29" s="64"/>
      <c r="N29" s="65"/>
      <c r="O29" s="66"/>
      <c r="P29" s="64"/>
      <c r="Q29" s="64"/>
      <c r="R29" s="65"/>
      <c r="S29" s="158" t="s">
        <v>285</v>
      </c>
    </row>
    <row r="30" spans="1:19" ht="36" customHeight="1">
      <c r="A30" s="92"/>
      <c r="B30" s="89">
        <f>Control_10 Open_time</f>
      </c>
      <c r="C30" s="89">
        <f>Control_10 Close_time</f>
      </c>
      <c r="D30" s="127"/>
      <c r="E30" s="88">
        <f>IF(ISBLANK(Control_10 Establishment_1),"",Control_10 Establishment_1)</f>
      </c>
      <c r="F30" s="21"/>
      <c r="G30" s="20"/>
      <c r="H30" s="95" t="s">
        <v>42</v>
      </c>
      <c r="K30" s="50"/>
      <c r="L30" s="67"/>
      <c r="M30" s="67"/>
      <c r="N30" s="68"/>
      <c r="O30" s="69"/>
      <c r="P30" s="67"/>
      <c r="Q30" s="67"/>
      <c r="R30" s="68"/>
      <c r="S30" s="159" t="s">
        <v>286</v>
      </c>
    </row>
    <row r="31" spans="1:21" ht="36" customHeight="1" thickBot="1">
      <c r="A31" s="153">
        <f>IF(ISBLANK(Distance Control_10),"",Control_10 Distance)</f>
      </c>
      <c r="B31" s="154">
        <f>Control_10 Open_time</f>
      </c>
      <c r="C31" s="154">
        <f>Control_10 Close_time</f>
      </c>
      <c r="D31" s="155" t="str">
        <f>IF(ISBLANK(Locale Control_10),"",Locale Control_10)</f>
        <v>SECRET</v>
      </c>
      <c r="E31" s="88">
        <f>IF(ISBLANK(Control_10 Establishment_2),"",Control_10 Establishment_2)</f>
      </c>
      <c r="F31" s="21"/>
      <c r="G31" s="20"/>
      <c r="H31" s="95" t="s">
        <v>42</v>
      </c>
      <c r="K31" s="48"/>
      <c r="L31" s="58"/>
      <c r="M31" s="58"/>
      <c r="N31" s="70"/>
      <c r="O31" s="71"/>
      <c r="P31" s="58"/>
      <c r="Q31" s="58"/>
      <c r="R31" s="70"/>
      <c r="S31" s="57"/>
      <c r="U31" s="44"/>
    </row>
    <row r="32" spans="1:21" ht="36" customHeight="1" thickBot="1">
      <c r="A32" s="93"/>
      <c r="B32" s="90">
        <f>Control_10 Open_time</f>
      </c>
      <c r="C32" s="90">
        <f>Control_10 Close_time</f>
      </c>
      <c r="D32" s="126"/>
      <c r="E32" s="91">
        <f>IF(ISBLANK(Control_10 Establishment_3),"",Control_10 Establishment_3)</f>
      </c>
      <c r="F32" s="23"/>
      <c r="G32" s="22"/>
      <c r="H32" s="95" t="s">
        <v>42</v>
      </c>
      <c r="L32" s="56" t="s">
        <v>65</v>
      </c>
      <c r="M32" s="57"/>
      <c r="N32" s="55" t="str">
        <f>IF(ISBLANK(Brevet_Number),"",Brevet_Number)</f>
        <v>VI 1000</v>
      </c>
      <c r="O32" s="55"/>
      <c r="P32" s="55"/>
      <c r="Q32" s="57"/>
      <c r="R32" s="57"/>
      <c r="S32" s="57"/>
      <c r="U32" s="44"/>
    </row>
    <row r="33" spans="1:21" ht="28.5" customHeight="1">
      <c r="A33" s="121"/>
      <c r="B33" s="122"/>
      <c r="C33" s="122"/>
      <c r="D33" s="130"/>
      <c r="E33" s="123"/>
      <c r="F33" s="124"/>
      <c r="G33" s="124"/>
      <c r="H33" s="95"/>
      <c r="L33" s="56"/>
      <c r="M33" s="57"/>
      <c r="N33" s="131"/>
      <c r="O33" s="131"/>
      <c r="P33" s="131"/>
      <c r="Q33" s="57"/>
      <c r="R33" s="57"/>
      <c r="S33" s="57"/>
      <c r="U33" s="44"/>
    </row>
    <row r="34" ht="6.75" customHeight="1" thickBot="1">
      <c r="A34"/>
    </row>
    <row r="35" spans="1:8" ht="36" customHeight="1">
      <c r="A35" s="132"/>
      <c r="B35" s="133">
        <f>Control_11 Open_time</f>
        <v>40713.33263888889</v>
      </c>
      <c r="C35" s="133">
        <f>Control_11 Close_time</f>
        <v>40714.65069444444</v>
      </c>
      <c r="D35" s="134"/>
      <c r="E35" s="135" t="str">
        <f>IF(ISBLANK(Control_11 Establishment_1),"",Control_11 Establishment_1)</f>
        <v>Tim Horton's</v>
      </c>
      <c r="F35" s="136"/>
      <c r="G35" s="137"/>
      <c r="H35" s="95" t="s">
        <v>42</v>
      </c>
    </row>
    <row r="36" spans="1:14" ht="36" customHeight="1">
      <c r="A36" s="153">
        <f>IF(ISBLANK(Distance Control_11),"",Control_11 Distance)</f>
        <v>801.39</v>
      </c>
      <c r="B36" s="154">
        <f>Control_11 Open_time</f>
        <v>40713.33263888889</v>
      </c>
      <c r="C36" s="154">
        <f>Control_11 Close_time</f>
        <v>40714.65069444444</v>
      </c>
      <c r="D36" s="155" t="str">
        <f>IF(ISBLANK(Locale Control_11),"",Locale Control_11)</f>
        <v>DUNCAN</v>
      </c>
      <c r="E36" s="88" t="str">
        <f>IF(ISBLANK(Control_11 Establishment_2),"",Control_11 Establishment_2)</f>
        <v>Drinkwater Road</v>
      </c>
      <c r="F36" s="21"/>
      <c r="G36" s="20"/>
      <c r="H36" s="95" t="s">
        <v>42</v>
      </c>
      <c r="K36" s="33"/>
      <c r="N36" s="1"/>
    </row>
    <row r="37" spans="1:11" ht="36" customHeight="1" thickBot="1">
      <c r="A37" s="93"/>
      <c r="B37" s="90">
        <f>Control_11 Open_time</f>
        <v>40713.33263888889</v>
      </c>
      <c r="C37" s="90">
        <f>Control_11 Close_time</f>
        <v>40714.65069444444</v>
      </c>
      <c r="D37" s="126"/>
      <c r="E37" s="91">
        <f>IF(ISBLANK(Control_11 Establishment_3),"",Control_11 Establishment_3)</f>
      </c>
      <c r="F37" s="23"/>
      <c r="G37" s="22"/>
      <c r="H37" s="95" t="s">
        <v>42</v>
      </c>
      <c r="K37" s="33"/>
    </row>
    <row r="38" spans="1:11" ht="36" customHeight="1">
      <c r="A38" s="92"/>
      <c r="B38" s="89">
        <f>Control_12 Open_time</f>
        <v>40713.39513888889</v>
      </c>
      <c r="C38" s="89">
        <f>Control_12 Close_time</f>
        <v>40714.80347222222</v>
      </c>
      <c r="D38" s="125"/>
      <c r="E38" s="88" t="str">
        <f>IF(ISBLANK(Control_12 Establishment_1),"",Control_12 Establishment_1)</f>
        <v>Daly's Auto</v>
      </c>
      <c r="F38" s="21"/>
      <c r="G38" s="20"/>
      <c r="H38" s="95" t="s">
        <v>42</v>
      </c>
      <c r="K38" s="33"/>
    </row>
    <row r="39" spans="1:11" ht="36" customHeight="1">
      <c r="A39" s="153">
        <f>IF(ISBLANK(Distance Control_12),"",Control_12 Distance)</f>
        <v>843.3000000000001</v>
      </c>
      <c r="B39" s="154">
        <f>Control_12 Open_time</f>
        <v>40713.39513888889</v>
      </c>
      <c r="C39" s="154">
        <f>Control_12 Close_time</f>
        <v>40714.80347222222</v>
      </c>
      <c r="D39" s="155" t="str">
        <f>IF(ISBLANK(Locale Control_12),"",Locale Control_12)</f>
        <v>YOUBOU</v>
      </c>
      <c r="E39" s="88" t="str">
        <f>IF(ISBLANK(Control_12 Establishment_2),"",Control_12 Establishment_2)</f>
        <v>Name of cafe?</v>
      </c>
      <c r="F39" s="21"/>
      <c r="G39" s="20"/>
      <c r="H39" s="95" t="s">
        <v>42</v>
      </c>
      <c r="K39" s="33"/>
    </row>
    <row r="40" spans="1:20" ht="36" customHeight="1" thickBot="1">
      <c r="A40" s="93"/>
      <c r="B40" s="90">
        <f>Control_12 Open_time</f>
        <v>40713.39513888889</v>
      </c>
      <c r="C40" s="90">
        <f>Control_12 Close_time</f>
        <v>40714.80347222222</v>
      </c>
      <c r="D40" s="126"/>
      <c r="E40" s="91">
        <f>IF(ISBLANK(Control_12 Establishment_3),"",Control_12 Establishment_3)</f>
      </c>
      <c r="F40" s="23"/>
      <c r="G40" s="22"/>
      <c r="H40" s="95" t="s">
        <v>42</v>
      </c>
      <c r="J40" s="36" t="s">
        <v>66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19" ht="36" customHeight="1">
      <c r="A41" s="92"/>
      <c r="B41" s="89">
        <f>Control_13 Open_time</f>
        <v>40713.48263888889</v>
      </c>
      <c r="C41" s="89">
        <f>Control_13 Close_time</f>
        <v>40715.01666666667</v>
      </c>
      <c r="D41" s="125"/>
      <c r="E41" s="88" t="str">
        <f>IF(ISBLANK(Control_13 Establishment_1),"",Control_13 Establishment_1)</f>
        <v>Rider's Choice</v>
      </c>
      <c r="F41" s="21"/>
      <c r="G41" s="20"/>
      <c r="H41" s="95" t="s">
        <v>42</v>
      </c>
      <c r="J41" s="41" t="str">
        <f>IF(ISBLANK(brevet),"",brevet&amp;" km Randonnée")</f>
        <v>1000 km Randonnée</v>
      </c>
      <c r="K41" s="42"/>
      <c r="L41" s="34"/>
      <c r="M41" s="34"/>
      <c r="N41" s="34"/>
      <c r="O41" s="34"/>
      <c r="P41" s="34"/>
      <c r="Q41" s="34"/>
      <c r="R41" s="34"/>
      <c r="S41" s="34"/>
    </row>
    <row r="42" spans="1:20" ht="36" customHeight="1">
      <c r="A42" s="153">
        <f>IF(ISBLANK(Distance Control_13),"",Control_13 Distance)</f>
        <v>901.8</v>
      </c>
      <c r="B42" s="154">
        <f>Control_13 Open_time</f>
        <v>40713.48263888889</v>
      </c>
      <c r="C42" s="154">
        <f>Control_13 Close_time</f>
        <v>40715.01666666667</v>
      </c>
      <c r="D42" s="155" t="str">
        <f>IF(ISBLANK(Locale Control_13),"",Locale Control_13)</f>
        <v>COWICHAN BAY</v>
      </c>
      <c r="E42" s="88" t="str">
        <f>IF(ISBLANK(Control_13 Establishment_2),"",Control_13 Establishment_2)</f>
        <v>Name of bakery?</v>
      </c>
      <c r="F42" s="21"/>
      <c r="G42" s="20"/>
      <c r="H42" s="95" t="s">
        <v>42</v>
      </c>
      <c r="J42" s="40" t="str">
        <f>IF(ISBLANK(Brevet_Description),"",Brevet_Description)</f>
        <v>Parksville - Port Hardy - Youbou - Parksville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36" customHeight="1" thickBot="1">
      <c r="A43" s="93"/>
      <c r="B43" s="90">
        <f>Control_13 Open_time</f>
        <v>40713.48263888889</v>
      </c>
      <c r="C43" s="90">
        <f>Control_13 Close_time</f>
        <v>40715.01666666667</v>
      </c>
      <c r="D43" s="126"/>
      <c r="E43" s="91">
        <f>IF(ISBLANK(Control_13 Establishment_3),"",Control_13 Establishment_3)</f>
      </c>
      <c r="F43" s="23"/>
      <c r="G43" s="22"/>
      <c r="H43" s="95" t="s">
        <v>42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36" customHeight="1" thickBot="1">
      <c r="A44" s="92"/>
      <c r="B44" s="89">
        <f>Control_14 Open_time</f>
        <v>40713.64027777778</v>
      </c>
      <c r="C44" s="89">
        <f>Control_14 Close_time</f>
        <v>40715.375</v>
      </c>
      <c r="D44" s="127"/>
      <c r="E44" s="88" t="str">
        <f>IF(ISBLANK(Control_14 Establishment_1),"",Control_14 Establishment_1)</f>
        <v>Tim Horton's</v>
      </c>
      <c r="F44" s="21"/>
      <c r="G44" s="20"/>
      <c r="H44" s="95" t="s">
        <v>42</v>
      </c>
      <c r="J44" s="37" t="s">
        <v>48</v>
      </c>
      <c r="L44" s="108" t="str">
        <f>IF(ISBLANK(Surname),"",First_Name&amp;" "&amp;Initial&amp;" "&amp;Surname)</f>
        <v>  </v>
      </c>
      <c r="M44" s="54"/>
      <c r="N44" s="54"/>
      <c r="O44" s="54"/>
      <c r="P44" s="54"/>
      <c r="Q44" s="54"/>
      <c r="R44" s="54"/>
      <c r="S44" s="54"/>
      <c r="T44" s="53"/>
    </row>
    <row r="45" spans="1:20" ht="36" customHeight="1" thickBot="1">
      <c r="A45" s="153">
        <f>IF(ISBLANK(Distance Control_14),"",Control_14 Distance)</f>
        <v>1007.3</v>
      </c>
      <c r="B45" s="154">
        <f>Control_14 Open_time</f>
        <v>40713.64027777778</v>
      </c>
      <c r="C45" s="154">
        <f>Control_14 Close_time</f>
        <v>40715.375</v>
      </c>
      <c r="D45" s="155" t="str">
        <f>IF(ISBLANK(Locale Control_14),"",Locale Control_14)</f>
        <v>PARKSVILLE</v>
      </c>
      <c r="E45" s="88" t="str">
        <f>IF(ISBLANK(Control_14 Establishment_2),"",Control_14 Establishment_2)</f>
        <v>494 Highway #19A </v>
      </c>
      <c r="F45" s="21"/>
      <c r="G45" s="20"/>
      <c r="H45" s="95" t="s">
        <v>42</v>
      </c>
      <c r="J45" s="37" t="s">
        <v>49</v>
      </c>
      <c r="K45" s="37"/>
      <c r="L45" s="106">
        <f>IF(ISBLANK(Address_1),"",Address_1)</f>
      </c>
      <c r="M45" s="55"/>
      <c r="N45" s="55"/>
      <c r="O45" s="55"/>
      <c r="P45" s="55"/>
      <c r="Q45" s="55"/>
      <c r="R45" s="55"/>
      <c r="S45" s="55"/>
      <c r="T45" s="51"/>
    </row>
    <row r="46" spans="1:20" ht="36" customHeight="1" thickBot="1">
      <c r="A46" s="93"/>
      <c r="B46" s="90">
        <f>Control_14 Open_time</f>
        <v>40713.64027777778</v>
      </c>
      <c r="C46" s="90">
        <f>Control_14 Close_time</f>
        <v>40715.375</v>
      </c>
      <c r="D46" s="126"/>
      <c r="E46" s="91">
        <f>IF(ISBLANK(Control_14 Establishment_3),"",Control_14 Establishment_3)</f>
      </c>
      <c r="F46" s="23"/>
      <c r="G46" s="22"/>
      <c r="H46" s="95" t="s">
        <v>42</v>
      </c>
      <c r="J46" s="37"/>
      <c r="K46" s="37"/>
      <c r="L46" s="106">
        <f>IF(ISBLANK(Address_2),"",Address_2)</f>
      </c>
      <c r="M46" s="55"/>
      <c r="N46" s="55"/>
      <c r="O46" s="55"/>
      <c r="P46" s="55"/>
      <c r="Q46" s="55"/>
      <c r="R46" s="55"/>
      <c r="S46" s="55"/>
      <c r="T46" s="51"/>
    </row>
    <row r="47" spans="1:20" ht="36" customHeight="1" thickBot="1">
      <c r="A47" s="92"/>
      <c r="B47" s="89">
        <f>Control_15 Open_time</f>
      </c>
      <c r="C47" s="89">
        <f>Control_15 Close_time</f>
      </c>
      <c r="D47" s="127"/>
      <c r="E47" s="88">
        <f>IF(ISBLANK(Control_15 Establishment_1),"",Control_15 Establishment_1)</f>
      </c>
      <c r="F47" s="21"/>
      <c r="G47" s="20"/>
      <c r="H47" s="95" t="s">
        <v>42</v>
      </c>
      <c r="J47" s="37" t="s">
        <v>50</v>
      </c>
      <c r="K47" s="37"/>
      <c r="L47" s="106">
        <f>IF(ISBLANK(City),"",City)</f>
      </c>
      <c r="M47" s="55"/>
      <c r="N47" s="55"/>
      <c r="O47" s="56"/>
      <c r="P47" s="56" t="s">
        <v>51</v>
      </c>
      <c r="Q47" s="56"/>
      <c r="R47" s="56"/>
      <c r="S47" s="106">
        <f>IF(ISBLANK(Province_State),"",Province_State)</f>
      </c>
      <c r="T47" s="51"/>
    </row>
    <row r="48" spans="1:20" ht="36" customHeight="1" thickBot="1">
      <c r="A48" s="153">
        <f>IF(ISBLANK(Distance Control_15),"",Control_15 Distance)</f>
      </c>
      <c r="B48" s="154">
        <f>Control_15 Open_time</f>
      </c>
      <c r="C48" s="154">
        <f>Control_15 Close_time</f>
      </c>
      <c r="D48" s="155">
        <f>IF(ISBLANK(Locale Control_15),"",Locale Control_15)</f>
      </c>
      <c r="E48" s="88">
        <f>IF(ISBLANK(Control_15 Establishment_2),"",Control_15 Establishment_2)</f>
      </c>
      <c r="F48" s="21"/>
      <c r="G48" s="20"/>
      <c r="H48" s="95" t="s">
        <v>42</v>
      </c>
      <c r="J48" s="37" t="s">
        <v>52</v>
      </c>
      <c r="K48" s="37"/>
      <c r="L48" s="106">
        <f>IF(ISBLANK(Country),"",Country)</f>
      </c>
      <c r="M48" s="55"/>
      <c r="N48" s="55"/>
      <c r="O48" s="56"/>
      <c r="P48" s="56" t="s">
        <v>53</v>
      </c>
      <c r="Q48" s="56"/>
      <c r="R48" s="56"/>
      <c r="S48" s="128">
        <f>IF(ISBLANK(Postal_Code),"",Postal_Code)</f>
      </c>
      <c r="T48" s="51"/>
    </row>
    <row r="49" spans="1:19" ht="36" customHeight="1" thickBot="1">
      <c r="A49" s="93"/>
      <c r="B49" s="90">
        <f>Control_15 Open_time</f>
      </c>
      <c r="C49" s="90">
        <f>Control_15 Close_time</f>
      </c>
      <c r="D49" s="126"/>
      <c r="E49" s="91">
        <f>IF(ISBLANK(Control_15 Establishment_3),"",Control_15 Establishment_3)</f>
      </c>
      <c r="F49" s="23"/>
      <c r="G49" s="22"/>
      <c r="H49" s="95" t="s">
        <v>42</v>
      </c>
      <c r="L49" s="57"/>
      <c r="M49" s="57"/>
      <c r="N49" s="57"/>
      <c r="O49" s="57"/>
      <c r="P49" s="57"/>
      <c r="Q49" s="57"/>
      <c r="R49" s="57"/>
      <c r="S49" s="57"/>
    </row>
    <row r="50" spans="1:20" ht="36" customHeight="1" thickBot="1">
      <c r="A50" s="92"/>
      <c r="B50" s="89">
        <f>Control_16 Open_time</f>
      </c>
      <c r="C50" s="89">
        <f>Control_16 Close_time</f>
      </c>
      <c r="D50" s="127"/>
      <c r="E50" s="88">
        <f>IF(ISBLANK(Control_16 Establishment_1),"",Control_16 Establishment_1)</f>
      </c>
      <c r="F50" s="21"/>
      <c r="G50" s="20"/>
      <c r="H50" s="95" t="s">
        <v>42</v>
      </c>
      <c r="J50" s="37" t="s">
        <v>54</v>
      </c>
      <c r="L50" s="105">
        <f>IF(ISBLANK(Home_telephone),"",Home_telephone)</f>
      </c>
      <c r="M50" s="129"/>
      <c r="N50" s="129"/>
      <c r="O50" s="57"/>
      <c r="P50" s="56" t="s">
        <v>55</v>
      </c>
      <c r="Q50" s="128">
        <f>IF(ISBLANK(email),"",email)</f>
      </c>
      <c r="R50" s="58"/>
      <c r="S50" s="58"/>
      <c r="T50" s="52"/>
    </row>
    <row r="51" spans="1:19" ht="36" customHeight="1">
      <c r="A51" s="153">
        <f>IF(ISBLANK(Distance Control_16),"",Control_16 Distance)</f>
      </c>
      <c r="B51" s="154">
        <f>Control_16 Open_time</f>
      </c>
      <c r="C51" s="154">
        <f>Control_16 Close_time</f>
      </c>
      <c r="D51" s="155">
        <f>IF(ISBLANK(Locale Control_16),"",Locale Control_16)</f>
      </c>
      <c r="E51" s="88">
        <f>IF(ISBLANK(Control_16 Establishment_2),"",Control_16 Establishment_2)</f>
      </c>
      <c r="F51" s="21"/>
      <c r="G51" s="20"/>
      <c r="H51" s="95" t="s">
        <v>42</v>
      </c>
      <c r="L51" s="57"/>
      <c r="M51" s="57"/>
      <c r="N51" s="57"/>
      <c r="O51" s="57"/>
      <c r="P51" s="57"/>
      <c r="Q51" s="57"/>
      <c r="R51" s="57"/>
      <c r="S51" s="57"/>
    </row>
    <row r="52" spans="1:20" ht="36" customHeight="1" thickBot="1">
      <c r="A52" s="93"/>
      <c r="B52" s="90">
        <f>Control_16 Open_time</f>
      </c>
      <c r="C52" s="90">
        <f>Control_16 Close_time</f>
      </c>
      <c r="D52" s="126"/>
      <c r="E52" s="91">
        <f>IF(ISBLANK(Control_16 Establishment_3),"",Control_16 Establishment_3)</f>
      </c>
      <c r="F52" s="23"/>
      <c r="G52" s="22"/>
      <c r="H52" s="95" t="s">
        <v>42</v>
      </c>
      <c r="J52" s="44" t="s">
        <v>56</v>
      </c>
      <c r="K52" s="44"/>
      <c r="L52" s="59"/>
      <c r="M52" s="60"/>
      <c r="N52" s="59"/>
      <c r="O52" s="59"/>
      <c r="P52" s="59"/>
      <c r="Q52" s="59"/>
      <c r="R52" s="59"/>
      <c r="S52" s="59"/>
      <c r="T52" s="44"/>
    </row>
    <row r="53" spans="1:20" ht="36" customHeight="1">
      <c r="A53" s="92"/>
      <c r="B53" s="89">
        <f>Control_17 Open_time</f>
      </c>
      <c r="C53" s="89">
        <f>Control_17 Close_time</f>
      </c>
      <c r="D53" s="127"/>
      <c r="E53" s="88">
        <f>IF(ISBLANK(Control_17 Establishment_1),"",Control_17 Establishment_1)</f>
      </c>
      <c r="F53" s="21"/>
      <c r="G53" s="20"/>
      <c r="H53" s="95" t="s">
        <v>42</v>
      </c>
      <c r="J53" s="44" t="s">
        <v>57</v>
      </c>
      <c r="K53" s="44"/>
      <c r="L53" s="59"/>
      <c r="M53" s="59"/>
      <c r="N53" s="59"/>
      <c r="O53" s="59"/>
      <c r="P53" s="59"/>
      <c r="Q53" s="59"/>
      <c r="R53" s="59"/>
      <c r="S53" s="59"/>
      <c r="T53" s="44"/>
    </row>
    <row r="54" spans="1:19" ht="36" customHeight="1">
      <c r="A54" s="153">
        <f>IF(ISBLANK(Distance Control_17),"",Control_17 Distance)</f>
      </c>
      <c r="B54" s="154">
        <f>Control_17 Open_time</f>
      </c>
      <c r="C54" s="154">
        <f>Control_17 Close_time</f>
      </c>
      <c r="D54" s="155">
        <f>IF(ISBLANK(Locale Control_17),"",Locale Control_17)</f>
      </c>
      <c r="E54" s="88">
        <f>IF(ISBLANK(Control_17 Establishment_2),"",Control_17 Establishment_2)</f>
      </c>
      <c r="F54" s="21"/>
      <c r="G54" s="20"/>
      <c r="H54" s="95" t="s">
        <v>42</v>
      </c>
      <c r="L54" s="57"/>
      <c r="M54" s="57"/>
      <c r="N54" s="57"/>
      <c r="O54" s="57"/>
      <c r="P54" s="57"/>
      <c r="Q54" s="57"/>
      <c r="R54" s="57"/>
      <c r="S54" s="57"/>
    </row>
    <row r="55" spans="1:20" ht="36" customHeight="1" thickBot="1">
      <c r="A55" s="93"/>
      <c r="B55" s="90">
        <f>Control_17 Open_time</f>
      </c>
      <c r="C55" s="90">
        <f>Control_17 Close_time</f>
      </c>
      <c r="D55" s="126"/>
      <c r="E55" s="91">
        <f>IF(ISBLANK(Control_17 Establishment_3),"",Control_17 Establishment_3)</f>
      </c>
      <c r="F55" s="23"/>
      <c r="G55" s="22"/>
      <c r="H55" s="95" t="s">
        <v>42</v>
      </c>
      <c r="J55" s="49" t="s">
        <v>58</v>
      </c>
      <c r="K55" s="49"/>
      <c r="L55" s="61"/>
      <c r="M55" s="61"/>
      <c r="N55" s="61"/>
      <c r="O55" s="61"/>
      <c r="P55" s="61"/>
      <c r="Q55" s="61"/>
      <c r="R55" s="61"/>
      <c r="S55" s="61"/>
      <c r="T55" s="49"/>
    </row>
    <row r="56" spans="1:20" ht="36" customHeight="1" thickBot="1">
      <c r="A56" s="92"/>
      <c r="B56" s="89">
        <f>Control_18 Open_time</f>
      </c>
      <c r="C56" s="89">
        <f>Control_18 Close_time</f>
      </c>
      <c r="D56" s="127"/>
      <c r="E56" s="88">
        <f>IF(ISBLANK(Control_18 Establishment_1),"",Control_18 Establishment_1)</f>
      </c>
      <c r="F56" s="21"/>
      <c r="G56" s="20"/>
      <c r="H56" s="95" t="s">
        <v>42</v>
      </c>
      <c r="J56" s="37" t="s">
        <v>59</v>
      </c>
      <c r="K56" s="45">
        <f>IF(ISBLANK(Start_date),"",Start_date)</f>
        <v>40712</v>
      </c>
      <c r="L56" s="62"/>
      <c r="M56" s="62"/>
      <c r="N56" s="57"/>
      <c r="O56" s="56" t="s">
        <v>60</v>
      </c>
      <c r="P56" s="57"/>
      <c r="Q56" s="58"/>
      <c r="R56" s="58"/>
      <c r="S56" s="58"/>
      <c r="T56" s="43"/>
    </row>
    <row r="57" spans="1:20" ht="36" customHeight="1" thickBot="1">
      <c r="A57" s="153">
        <f>IF(ISBLANK(Distance Control_18),"",Control_18 Distance)</f>
      </c>
      <c r="B57" s="154">
        <f>Control_18 Open_time</f>
      </c>
      <c r="C57" s="154">
        <f>Control_18 Close_time</f>
      </c>
      <c r="D57" s="155">
        <f>IF(ISBLANK(Locale Control_18),"",Locale Control_18)</f>
      </c>
      <c r="E57" s="88">
        <f>IF(ISBLANK(Control_18 Establishment_2),"",Control_18 Establishment_2)</f>
      </c>
      <c r="F57" s="21"/>
      <c r="G57" s="20"/>
      <c r="H57" s="95" t="s">
        <v>42</v>
      </c>
      <c r="L57" s="57"/>
      <c r="M57" s="57"/>
      <c r="N57" s="57"/>
      <c r="O57" s="56" t="s">
        <v>61</v>
      </c>
      <c r="P57" s="57"/>
      <c r="Q57" s="58"/>
      <c r="R57" s="58"/>
      <c r="S57" s="58"/>
      <c r="T57" s="43"/>
    </row>
    <row r="58" spans="1:20" ht="36" customHeight="1" thickBot="1">
      <c r="A58" s="93"/>
      <c r="B58" s="90">
        <f>Control_18 Open_time</f>
      </c>
      <c r="C58" s="90">
        <f>Control_18 Close_time</f>
      </c>
      <c r="D58" s="126"/>
      <c r="E58" s="91">
        <f>IF(ISBLANK(Control_18 Establishment_3),"",Control_18 Establishment_3)</f>
      </c>
      <c r="F58" s="23"/>
      <c r="G58" s="22"/>
      <c r="H58" s="95" t="s">
        <v>42</v>
      </c>
      <c r="J58" s="43"/>
      <c r="K58" s="43"/>
      <c r="L58" s="58"/>
      <c r="M58" s="58"/>
      <c r="N58" s="57"/>
      <c r="O58" s="56" t="s">
        <v>62</v>
      </c>
      <c r="P58" s="57"/>
      <c r="Q58" s="58"/>
      <c r="R58" s="58"/>
      <c r="S58" s="58"/>
      <c r="T58" s="43"/>
    </row>
    <row r="59" spans="1:19" ht="36" customHeight="1">
      <c r="A59" s="92"/>
      <c r="B59" s="89">
        <f>Control_19 Open_time</f>
      </c>
      <c r="C59" s="89">
        <f>Control_19 Close_time</f>
      </c>
      <c r="D59" s="127"/>
      <c r="E59" s="88">
        <f>IF(ISBLANK(Control_19 Establishment_1),"",Control_19 Establishment_1)</f>
      </c>
      <c r="F59" s="21"/>
      <c r="G59" s="20"/>
      <c r="H59" s="95" t="s">
        <v>42</v>
      </c>
      <c r="J59" s="46" t="s">
        <v>63</v>
      </c>
      <c r="K59" s="46"/>
      <c r="L59" s="63"/>
      <c r="M59" s="63"/>
      <c r="N59" s="57"/>
      <c r="O59" s="57"/>
      <c r="P59" s="57"/>
      <c r="Q59" s="57"/>
      <c r="R59" s="57"/>
      <c r="S59" s="57"/>
    </row>
    <row r="60" spans="1:19" ht="36" customHeight="1" thickBot="1">
      <c r="A60" s="153">
        <f>IF(ISBLANK(Distance Control_19),"",Control_19 Distance)</f>
      </c>
      <c r="B60" s="154">
        <f>Control_19 Open_time</f>
      </c>
      <c r="C60" s="154">
        <f>Control_19 Close_time</f>
      </c>
      <c r="D60" s="155" t="str">
        <f>IF(ISBLANK(Locale Control_19),"",Locale Control_19)</f>
        <v>SECRET</v>
      </c>
      <c r="E60" s="88">
        <f>IF(ISBLANK(Control_19 Establishment_2),"",Control_19 Establishment_2)</f>
      </c>
      <c r="F60" s="21"/>
      <c r="G60" s="20"/>
      <c r="H60" s="95" t="s">
        <v>42</v>
      </c>
      <c r="L60" s="61" t="s">
        <v>64</v>
      </c>
      <c r="M60" s="61"/>
      <c r="N60" s="61"/>
      <c r="O60" s="61"/>
      <c r="P60" s="61"/>
      <c r="Q60" s="61"/>
      <c r="R60" s="57"/>
      <c r="S60" s="57"/>
    </row>
    <row r="61" spans="1:19" ht="36" customHeight="1" thickBot="1">
      <c r="A61" s="93"/>
      <c r="B61" s="90">
        <f>Control_19 Open_time</f>
      </c>
      <c r="C61" s="90">
        <f>Control_19 Close_time</f>
      </c>
      <c r="D61" s="126"/>
      <c r="E61" s="91">
        <f>IF(ISBLANK(Control_19 Establishment_3),"",Control_19 Establishment_3)</f>
      </c>
      <c r="F61" s="23"/>
      <c r="G61" s="22"/>
      <c r="H61" s="95" t="s">
        <v>42</v>
      </c>
      <c r="K61" s="47"/>
      <c r="L61" s="64"/>
      <c r="M61" s="64"/>
      <c r="N61" s="65"/>
      <c r="O61" s="66"/>
      <c r="P61" s="64"/>
      <c r="Q61" s="64"/>
      <c r="R61" s="65"/>
      <c r="S61" s="158" t="s">
        <v>285</v>
      </c>
    </row>
    <row r="62" spans="1:19" ht="36" customHeight="1">
      <c r="A62" s="92"/>
      <c r="B62" s="89">
        <f>Control_20 Open_time</f>
      </c>
      <c r="C62" s="89">
        <f>Control_20 Close_time</f>
      </c>
      <c r="D62" s="127"/>
      <c r="E62" s="88">
        <f>IF(ISBLANK(Control_20 Establishment_1),"",Control_20 Establishment_1)</f>
      </c>
      <c r="F62" s="21"/>
      <c r="G62" s="20"/>
      <c r="H62" s="95" t="s">
        <v>42</v>
      </c>
      <c r="K62" s="50"/>
      <c r="L62" s="67"/>
      <c r="M62" s="67"/>
      <c r="N62" s="68"/>
      <c r="O62" s="69"/>
      <c r="P62" s="67"/>
      <c r="Q62" s="67"/>
      <c r="R62" s="68"/>
      <c r="S62" s="159" t="s">
        <v>286</v>
      </c>
    </row>
    <row r="63" spans="1:21" ht="36" customHeight="1" thickBot="1">
      <c r="A63" s="153">
        <f>IF(ISBLANK(Distance Control_20),"",Control_20 Distance)</f>
      </c>
      <c r="B63" s="154">
        <f>Control_20 Open_time</f>
      </c>
      <c r="C63" s="154">
        <f>Control_20 Close_time</f>
      </c>
      <c r="D63" s="155" t="str">
        <f>IF(ISBLANK(Locale Control_20),"",Locale Control_20)</f>
        <v>SECRET</v>
      </c>
      <c r="E63" s="88">
        <f>IF(ISBLANK(Control_20 Establishment_2),"",Control_20 Establishment_2)</f>
      </c>
      <c r="F63" s="21"/>
      <c r="G63" s="20"/>
      <c r="H63" s="95" t="s">
        <v>42</v>
      </c>
      <c r="K63" s="48"/>
      <c r="L63" s="58"/>
      <c r="M63" s="58"/>
      <c r="N63" s="70"/>
      <c r="O63" s="71"/>
      <c r="P63" s="58"/>
      <c r="Q63" s="58"/>
      <c r="R63" s="70"/>
      <c r="S63" s="57"/>
      <c r="U63" s="44"/>
    </row>
    <row r="64" spans="1:21" ht="36" customHeight="1" thickBot="1">
      <c r="A64" s="93"/>
      <c r="B64" s="90">
        <f>Control_20 Open_time</f>
      </c>
      <c r="C64" s="90">
        <f>Control_20 Close_time</f>
      </c>
      <c r="D64" s="126"/>
      <c r="E64" s="91">
        <f>IF(ISBLANK(Control_20 Establishment_3),"",Control_20 Establishment_3)</f>
      </c>
      <c r="F64" s="23"/>
      <c r="G64" s="22"/>
      <c r="H64" s="95" t="s">
        <v>42</v>
      </c>
      <c r="L64" s="56" t="s">
        <v>65</v>
      </c>
      <c r="M64" s="57"/>
      <c r="N64" s="55" t="str">
        <f>IF(ISBLANK(Brevet_Number),"",Brevet_Number)</f>
        <v>VI 1000</v>
      </c>
      <c r="O64" s="55"/>
      <c r="P64" s="55"/>
      <c r="Q64" s="57"/>
      <c r="R64" s="57"/>
      <c r="S64" s="57"/>
      <c r="U64" s="44"/>
    </row>
    <row r="65" ht="12">
      <c r="A65"/>
    </row>
    <row r="66" spans="1:8" ht="12">
      <c r="A66"/>
      <c r="H66"/>
    </row>
    <row r="67" spans="1:8" ht="12">
      <c r="A67"/>
      <c r="H67"/>
    </row>
    <row r="68" spans="1:8" ht="12">
      <c r="A68"/>
      <c r="H68"/>
    </row>
    <row r="69" spans="1:8" ht="12">
      <c r="A69"/>
      <c r="H69"/>
    </row>
    <row r="70" spans="1:8" ht="12">
      <c r="A70"/>
      <c r="H70"/>
    </row>
    <row r="71" spans="1:8" ht="12">
      <c r="A71"/>
      <c r="H71"/>
    </row>
    <row r="72" spans="1:8" ht="12">
      <c r="A72"/>
      <c r="H72"/>
    </row>
    <row r="73" spans="1:8" ht="12">
      <c r="A73"/>
      <c r="H73"/>
    </row>
    <row r="74" spans="1:8" ht="12">
      <c r="A74"/>
      <c r="H74"/>
    </row>
    <row r="75" spans="1:8" ht="12">
      <c r="A75"/>
      <c r="H75"/>
    </row>
    <row r="76" spans="1:8" ht="12">
      <c r="A76"/>
      <c r="H7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IV1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15.00390625" style="0" customWidth="1"/>
    <col min="4" max="4" width="6.140625" style="0" bestFit="1" customWidth="1"/>
    <col min="5" max="6" width="30.7109375" style="0" customWidth="1"/>
    <col min="7" max="7" width="15.7109375" style="0" customWidth="1"/>
    <col min="8" max="8" width="9.00390625" style="0" bestFit="1" customWidth="1"/>
    <col min="9" max="9" width="8.00390625" style="0" bestFit="1" customWidth="1"/>
    <col min="10" max="10" width="11.8515625" style="0" bestFit="1" customWidth="1"/>
    <col min="11" max="11" width="16.00390625" style="0" bestFit="1" customWidth="1"/>
    <col min="12" max="12" width="15.421875" style="0" bestFit="1" customWidth="1"/>
    <col min="13" max="13" width="13.28125" style="0" bestFit="1" customWidth="1"/>
    <col min="14" max="14" width="34.140625" style="0" customWidth="1"/>
    <col min="15" max="16" width="9.421875" style="0" customWidth="1"/>
    <col min="17" max="17" width="9.00390625" style="0" customWidth="1"/>
    <col min="18" max="18" width="8.8515625" style="0" customWidth="1"/>
  </cols>
  <sheetData>
    <row r="1" spans="1:18" ht="24.75" thickBot="1">
      <c r="A1" s="138"/>
      <c r="B1" s="139" t="s">
        <v>67</v>
      </c>
      <c r="C1" s="139" t="s">
        <v>68</v>
      </c>
      <c r="D1" s="139" t="s">
        <v>69</v>
      </c>
      <c r="E1" s="139" t="s">
        <v>70</v>
      </c>
      <c r="F1" s="139" t="s">
        <v>71</v>
      </c>
      <c r="G1" s="139" t="s">
        <v>50</v>
      </c>
      <c r="H1" s="140" t="s">
        <v>51</v>
      </c>
      <c r="I1" s="139" t="s">
        <v>52</v>
      </c>
      <c r="J1" s="139" t="s">
        <v>53</v>
      </c>
      <c r="K1" s="100" t="s">
        <v>72</v>
      </c>
      <c r="L1" s="100" t="s">
        <v>73</v>
      </c>
      <c r="M1" s="101" t="s">
        <v>74</v>
      </c>
      <c r="N1" s="141" t="s">
        <v>55</v>
      </c>
      <c r="O1" s="118" t="s">
        <v>75</v>
      </c>
      <c r="P1" s="118" t="s">
        <v>136</v>
      </c>
      <c r="Q1" s="118" t="s">
        <v>76</v>
      </c>
      <c r="R1" s="118" t="s">
        <v>77</v>
      </c>
    </row>
    <row r="2" spans="1:18" ht="12">
      <c r="A2" s="138"/>
      <c r="B2" s="142">
        <f aca="true" t="shared" si="0" ref="B2:N2">IF(ISBLANK(B3),"",B3)</f>
      </c>
      <c r="C2" s="142">
        <f t="shared" si="0"/>
      </c>
      <c r="D2" s="142">
        <f t="shared" si="0"/>
      </c>
      <c r="E2" s="142">
        <f t="shared" si="0"/>
      </c>
      <c r="F2" s="142">
        <f t="shared" si="0"/>
      </c>
      <c r="G2" s="142">
        <f t="shared" si="0"/>
      </c>
      <c r="H2" s="142">
        <f t="shared" si="0"/>
      </c>
      <c r="I2" s="142">
        <f t="shared" si="0"/>
      </c>
      <c r="J2" s="142">
        <f t="shared" si="0"/>
      </c>
      <c r="K2" s="143">
        <f t="shared" si="0"/>
      </c>
      <c r="L2" s="143">
        <f t="shared" si="0"/>
      </c>
      <c r="M2" s="143">
        <f t="shared" si="0"/>
      </c>
      <c r="N2" s="142">
        <f t="shared" si="0"/>
      </c>
      <c r="O2" s="144"/>
      <c r="P2" s="145"/>
      <c r="Q2" s="144"/>
      <c r="R2" s="144"/>
    </row>
    <row r="3" spans="1:18" ht="12">
      <c r="A3" s="102">
        <v>2</v>
      </c>
      <c r="B3" s="97"/>
      <c r="C3" s="97"/>
      <c r="D3" s="97"/>
      <c r="E3" s="97"/>
      <c r="F3" s="97"/>
      <c r="G3" s="97"/>
      <c r="H3" s="97"/>
      <c r="I3" s="97"/>
      <c r="J3" s="97"/>
      <c r="K3" s="98"/>
      <c r="L3" s="98"/>
      <c r="M3" s="98"/>
      <c r="N3" s="97"/>
      <c r="O3" s="99"/>
      <c r="P3" s="103"/>
      <c r="Q3" s="99"/>
      <c r="R3" s="99"/>
    </row>
    <row r="4" spans="2:18" ht="12">
      <c r="B4" s="97"/>
      <c r="C4" s="97"/>
      <c r="D4" s="97"/>
      <c r="E4" s="97"/>
      <c r="F4" s="97"/>
      <c r="G4" s="97"/>
      <c r="H4" s="97"/>
      <c r="I4" s="97"/>
      <c r="J4" s="97"/>
      <c r="K4" s="98"/>
      <c r="L4" s="98"/>
      <c r="M4" s="98"/>
      <c r="N4" s="97"/>
      <c r="O4" s="103"/>
      <c r="P4" s="103"/>
      <c r="Q4" s="103"/>
      <c r="R4" s="99"/>
    </row>
    <row r="5" spans="1:18" ht="12">
      <c r="A5" s="102"/>
      <c r="B5" s="97"/>
      <c r="C5" s="97"/>
      <c r="D5" s="97"/>
      <c r="E5" s="97"/>
      <c r="F5" s="97"/>
      <c r="G5" s="97"/>
      <c r="H5" s="97"/>
      <c r="I5" s="97"/>
      <c r="J5" s="97"/>
      <c r="K5" s="98"/>
      <c r="L5" s="98"/>
      <c r="M5" s="98"/>
      <c r="N5" s="97"/>
      <c r="O5" s="99"/>
      <c r="P5" s="99"/>
      <c r="Q5" s="99"/>
      <c r="R5" s="99"/>
    </row>
    <row r="6" spans="2:18" ht="12">
      <c r="B6" s="156"/>
      <c r="C6" s="156"/>
      <c r="D6" s="97"/>
      <c r="E6" s="156"/>
      <c r="F6" s="97"/>
      <c r="G6" s="97"/>
      <c r="H6" s="97"/>
      <c r="I6" s="97"/>
      <c r="J6" s="156"/>
      <c r="K6" s="98"/>
      <c r="L6" s="98"/>
      <c r="M6" s="98"/>
      <c r="N6" s="156"/>
      <c r="O6" s="99"/>
      <c r="P6" s="99"/>
      <c r="Q6" s="99"/>
      <c r="R6" s="99"/>
    </row>
    <row r="7" spans="1:18" ht="12">
      <c r="A7" s="102"/>
      <c r="B7" s="156"/>
      <c r="C7" s="156"/>
      <c r="D7" s="97"/>
      <c r="E7" s="156"/>
      <c r="F7" s="97"/>
      <c r="G7" s="97"/>
      <c r="H7" s="97"/>
      <c r="I7" s="97"/>
      <c r="J7" s="156"/>
      <c r="K7" s="98"/>
      <c r="L7" s="98"/>
      <c r="M7" s="98"/>
      <c r="N7" s="156"/>
      <c r="O7" s="103"/>
      <c r="P7" s="99"/>
      <c r="Q7" s="103"/>
      <c r="R7" s="99"/>
    </row>
    <row r="8" spans="2:18" ht="12">
      <c r="B8" s="97"/>
      <c r="C8" s="97"/>
      <c r="D8" s="97"/>
      <c r="E8" s="97"/>
      <c r="F8" s="97"/>
      <c r="G8" s="97"/>
      <c r="H8" s="97"/>
      <c r="I8" s="97"/>
      <c r="J8" s="97"/>
      <c r="K8" s="98"/>
      <c r="L8" s="98"/>
      <c r="M8" s="98"/>
      <c r="N8" s="97"/>
      <c r="O8" s="99"/>
      <c r="P8" s="103"/>
      <c r="Q8" s="99"/>
      <c r="R8" s="99"/>
    </row>
    <row r="9" spans="1:18" ht="12">
      <c r="A9" s="102"/>
      <c r="B9" s="156"/>
      <c r="C9" s="156"/>
      <c r="D9" s="156"/>
      <c r="E9" s="156"/>
      <c r="F9" s="156"/>
      <c r="G9" s="156"/>
      <c r="H9" s="156"/>
      <c r="I9" s="156"/>
      <c r="J9" s="157"/>
      <c r="K9" s="157"/>
      <c r="L9" s="98"/>
      <c r="M9" s="98"/>
      <c r="N9" s="156"/>
      <c r="O9" s="103"/>
      <c r="P9" s="103"/>
      <c r="Q9" s="103"/>
      <c r="R9" s="99"/>
    </row>
    <row r="10" spans="2:18" ht="12"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8"/>
      <c r="M10" s="98"/>
      <c r="N10" s="97"/>
      <c r="O10" s="99"/>
      <c r="P10" s="103"/>
      <c r="Q10" s="99"/>
      <c r="R10" s="99"/>
    </row>
    <row r="11" spans="1:18" ht="12">
      <c r="A11" s="102"/>
      <c r="B11" s="97"/>
      <c r="C11" s="97"/>
      <c r="D11" s="97"/>
      <c r="E11" s="97"/>
      <c r="F11" s="97"/>
      <c r="G11" s="97"/>
      <c r="H11" s="97"/>
      <c r="I11" s="97"/>
      <c r="J11" s="97"/>
      <c r="K11" s="98"/>
      <c r="L11" s="98"/>
      <c r="M11" s="98"/>
      <c r="N11" s="97"/>
      <c r="O11" s="99"/>
      <c r="P11" s="103"/>
      <c r="Q11" s="99"/>
      <c r="R11" s="99"/>
    </row>
    <row r="12" spans="2:18" ht="12">
      <c r="B12" s="97"/>
      <c r="C12" s="97"/>
      <c r="D12" s="97"/>
      <c r="E12" s="97"/>
      <c r="F12" s="97"/>
      <c r="G12" s="97"/>
      <c r="H12" s="97"/>
      <c r="I12" s="97"/>
      <c r="J12" s="97"/>
      <c r="K12" s="98"/>
      <c r="L12" s="98"/>
      <c r="M12" s="98"/>
      <c r="N12" s="97"/>
      <c r="O12" s="99"/>
      <c r="P12" s="103"/>
      <c r="Q12" s="99"/>
      <c r="R12" s="99"/>
    </row>
    <row r="13" spans="1:18" ht="12">
      <c r="A13" s="102"/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98"/>
      <c r="M13" s="98"/>
      <c r="N13" s="97"/>
      <c r="O13" s="99"/>
      <c r="P13" s="103"/>
      <c r="Q13" s="99"/>
      <c r="R13" s="99"/>
    </row>
    <row r="14" spans="2:18" ht="12">
      <c r="B14" s="97"/>
      <c r="C14" s="97"/>
      <c r="D14" s="97"/>
      <c r="E14" s="97"/>
      <c r="F14" s="97"/>
      <c r="G14" s="97"/>
      <c r="H14" s="97"/>
      <c r="I14" s="97"/>
      <c r="J14" s="97"/>
      <c r="K14" s="98"/>
      <c r="L14" s="98"/>
      <c r="M14" s="98"/>
      <c r="N14" s="97"/>
      <c r="O14" s="99"/>
      <c r="P14" s="103"/>
      <c r="Q14" s="99"/>
      <c r="R14" s="99"/>
    </row>
    <row r="15" spans="1:18" ht="12">
      <c r="A15" s="102"/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98"/>
      <c r="M15" s="98"/>
      <c r="N15" s="97"/>
      <c r="O15" s="99"/>
      <c r="P15" s="103"/>
      <c r="Q15" s="99"/>
      <c r="R15" s="99"/>
    </row>
    <row r="16" spans="1:18" ht="12">
      <c r="A16" s="102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8"/>
      <c r="N16" s="97"/>
      <c r="O16" s="99"/>
      <c r="P16" s="99"/>
      <c r="Q16" s="99"/>
      <c r="R16" s="99"/>
    </row>
    <row r="17" spans="1:18" ht="12">
      <c r="A17" s="102"/>
      <c r="B17" s="97"/>
      <c r="C17" s="97"/>
      <c r="D17" s="97"/>
      <c r="E17" s="97"/>
      <c r="F17" s="97"/>
      <c r="G17" s="97"/>
      <c r="H17" s="97"/>
      <c r="I17" s="97"/>
      <c r="J17" s="97"/>
      <c r="K17" s="146"/>
      <c r="L17" s="98"/>
      <c r="M17" s="98"/>
      <c r="N17" s="97"/>
      <c r="O17" s="99"/>
      <c r="P17" s="103"/>
      <c r="Q17" s="99"/>
      <c r="R17" s="99"/>
    </row>
    <row r="18" spans="1:18" ht="12">
      <c r="A18" s="102"/>
      <c r="B18" s="97"/>
      <c r="C18" s="97"/>
      <c r="D18" s="97"/>
      <c r="E18" s="119"/>
      <c r="F18" s="97"/>
      <c r="G18" s="97"/>
      <c r="H18" s="97"/>
      <c r="I18" s="97"/>
      <c r="J18" s="97"/>
      <c r="K18" s="98"/>
      <c r="L18" s="98"/>
      <c r="M18" s="98"/>
      <c r="N18" s="97"/>
      <c r="O18" s="99"/>
      <c r="P18" s="103"/>
      <c r="Q18" s="99"/>
      <c r="R18" s="99"/>
    </row>
    <row r="19" spans="1:18" ht="12">
      <c r="A19" s="102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8"/>
      <c r="M19" s="98"/>
      <c r="N19" s="97"/>
      <c r="O19" s="99"/>
      <c r="P19" s="103"/>
      <c r="Q19" s="99"/>
      <c r="R19" s="99"/>
    </row>
    <row r="20" spans="1:18" ht="12">
      <c r="A20" s="102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8"/>
      <c r="M20" s="98"/>
      <c r="N20" s="97"/>
      <c r="O20" s="99"/>
      <c r="P20" s="103"/>
      <c r="Q20" s="99"/>
      <c r="R20" s="99"/>
    </row>
    <row r="21" spans="1:18" ht="12">
      <c r="A21" s="102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8"/>
      <c r="M21" s="98"/>
      <c r="N21" s="97"/>
      <c r="O21" s="99"/>
      <c r="P21" s="99"/>
      <c r="Q21" s="99"/>
      <c r="R21" s="99"/>
    </row>
    <row r="22" spans="1:18" ht="12">
      <c r="A22" s="102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8"/>
      <c r="M22" s="98"/>
      <c r="N22" s="97"/>
      <c r="O22" s="99"/>
      <c r="P22" s="99"/>
      <c r="Q22" s="99"/>
      <c r="R22" s="99"/>
    </row>
    <row r="23" spans="1:18" ht="12">
      <c r="A23" s="102"/>
      <c r="B23" s="97"/>
      <c r="C23" s="97"/>
      <c r="D23" s="97"/>
      <c r="E23" s="97"/>
      <c r="F23" s="97"/>
      <c r="G23" s="97"/>
      <c r="H23" s="97"/>
      <c r="I23" s="97"/>
      <c r="J23" s="97"/>
      <c r="K23" s="98"/>
      <c r="L23" s="98"/>
      <c r="M23" s="98"/>
      <c r="N23" s="97"/>
      <c r="O23" s="99"/>
      <c r="P23" s="99"/>
      <c r="Q23" s="99"/>
      <c r="R23" s="99"/>
    </row>
    <row r="24" spans="1:18" ht="12">
      <c r="A24" s="102"/>
      <c r="B24" s="97"/>
      <c r="C24" s="97"/>
      <c r="D24" s="97"/>
      <c r="E24" s="97"/>
      <c r="F24" s="97"/>
      <c r="G24" s="97"/>
      <c r="H24" s="97"/>
      <c r="I24" s="97"/>
      <c r="J24" s="97"/>
      <c r="K24" s="98"/>
      <c r="L24" s="98"/>
      <c r="M24" s="98"/>
      <c r="N24" s="97"/>
      <c r="O24" s="99"/>
      <c r="P24" s="103"/>
      <c r="Q24" s="99"/>
      <c r="R24" s="99"/>
    </row>
    <row r="25" spans="1:18" ht="12">
      <c r="A25" s="102"/>
      <c r="B25" s="97"/>
      <c r="C25" s="97"/>
      <c r="D25" s="97"/>
      <c r="E25" s="97"/>
      <c r="F25" s="97"/>
      <c r="G25" s="97"/>
      <c r="H25" s="97"/>
      <c r="I25" s="97"/>
      <c r="J25" s="97"/>
      <c r="K25" s="98"/>
      <c r="L25" s="98"/>
      <c r="M25" s="98"/>
      <c r="N25" s="97"/>
      <c r="O25" s="99"/>
      <c r="P25" s="99"/>
      <c r="Q25" s="99"/>
      <c r="R25" s="99"/>
    </row>
    <row r="26" spans="1:18" ht="12">
      <c r="A26" s="102"/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7"/>
      <c r="O26" s="99"/>
      <c r="P26" s="103"/>
      <c r="Q26" s="99"/>
      <c r="R26" s="99"/>
    </row>
    <row r="27" spans="1:18" ht="12">
      <c r="A27" s="102"/>
      <c r="B27" s="97"/>
      <c r="C27" s="97"/>
      <c r="D27" s="97"/>
      <c r="E27" s="97"/>
      <c r="F27" s="97"/>
      <c r="G27" s="97"/>
      <c r="H27" s="97"/>
      <c r="I27" s="97"/>
      <c r="J27" s="97"/>
      <c r="K27" s="98"/>
      <c r="L27" s="98"/>
      <c r="M27" s="98"/>
      <c r="N27" s="97"/>
      <c r="O27" s="99"/>
      <c r="P27" s="103"/>
      <c r="Q27" s="99"/>
      <c r="R27" s="99"/>
    </row>
    <row r="28" spans="1:18" ht="12">
      <c r="A28" s="102"/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98"/>
      <c r="M28" s="98"/>
      <c r="N28" s="97"/>
      <c r="O28" s="99"/>
      <c r="P28" s="103"/>
      <c r="Q28" s="99"/>
      <c r="R28" s="99"/>
    </row>
    <row r="29" spans="1:18" ht="12">
      <c r="A29" s="102"/>
      <c r="B29" s="97"/>
      <c r="C29" s="97"/>
      <c r="D29" s="97"/>
      <c r="E29" s="97"/>
      <c r="F29" s="97"/>
      <c r="G29" s="97"/>
      <c r="H29" s="97"/>
      <c r="I29" s="97"/>
      <c r="J29" s="97"/>
      <c r="K29" s="98"/>
      <c r="L29" s="98"/>
      <c r="M29" s="98"/>
      <c r="N29" s="97"/>
      <c r="O29" s="99"/>
      <c r="P29" s="103"/>
      <c r="Q29" s="99"/>
      <c r="R29" s="99"/>
    </row>
    <row r="30" spans="1:18" ht="12">
      <c r="A30" s="102"/>
      <c r="B30" s="97"/>
      <c r="C30" s="97"/>
      <c r="D30" s="97"/>
      <c r="E30" s="97"/>
      <c r="F30" s="97"/>
      <c r="G30" s="97"/>
      <c r="H30" s="97"/>
      <c r="I30" s="97"/>
      <c r="J30" s="97"/>
      <c r="K30" s="98"/>
      <c r="L30" s="98"/>
      <c r="M30" s="98"/>
      <c r="N30" s="97"/>
      <c r="O30" s="99"/>
      <c r="P30" s="103"/>
      <c r="Q30" s="99"/>
      <c r="R30" s="99"/>
    </row>
    <row r="31" spans="1:18" ht="12">
      <c r="A31" s="102"/>
      <c r="B31" s="97"/>
      <c r="C31" s="97"/>
      <c r="D31" s="97"/>
      <c r="E31" s="97"/>
      <c r="F31" s="97"/>
      <c r="G31" s="97"/>
      <c r="H31" s="97"/>
      <c r="I31" s="97"/>
      <c r="J31" s="97"/>
      <c r="K31" s="98"/>
      <c r="L31" s="98"/>
      <c r="M31" s="98"/>
      <c r="N31" s="97"/>
      <c r="O31" s="99"/>
      <c r="P31" s="103"/>
      <c r="Q31" s="99"/>
      <c r="R31" s="99"/>
    </row>
    <row r="32" spans="11:18" ht="12">
      <c r="K32" s="104"/>
      <c r="L32" s="104"/>
      <c r="M32" s="104"/>
      <c r="O32" s="147"/>
      <c r="Q32" s="147"/>
      <c r="R32" s="147"/>
    </row>
    <row r="34" ht="12">
      <c r="P34" t="s">
        <v>117</v>
      </c>
    </row>
    <row r="35" ht="12">
      <c r="P35" t="s">
        <v>78</v>
      </c>
    </row>
    <row r="36" ht="12">
      <c r="P36" t="s">
        <v>79</v>
      </c>
    </row>
    <row r="37" ht="12">
      <c r="P37" t="s">
        <v>118</v>
      </c>
    </row>
    <row r="38" ht="12">
      <c r="P38" t="s">
        <v>119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95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6.421875" style="82" customWidth="1"/>
    <col min="2" max="2" width="5.140625" style="83" customWidth="1"/>
    <col min="3" max="3" width="34.00390625" style="84" customWidth="1"/>
    <col min="4" max="4" width="5.421875" style="82" customWidth="1"/>
    <col min="5" max="5" width="0.71875" style="0" customWidth="1"/>
    <col min="6" max="6" width="6.421875" style="82" customWidth="1"/>
    <col min="7" max="7" width="5.00390625" style="83" customWidth="1"/>
    <col min="8" max="8" width="34.7109375" style="84" customWidth="1"/>
    <col min="9" max="9" width="6.421875" style="82" customWidth="1"/>
    <col min="10" max="10" width="8.8515625" style="0" customWidth="1"/>
    <col min="11" max="11" width="5.421875" style="0" customWidth="1"/>
    <col min="12" max="12" width="2.28125" style="0" customWidth="1"/>
    <col min="13" max="13" width="26.00390625" style="0" customWidth="1"/>
  </cols>
  <sheetData>
    <row r="1" spans="1:9" ht="51.75" customHeight="1" thickBot="1">
      <c r="A1" s="148" t="s">
        <v>120</v>
      </c>
      <c r="B1" s="149" t="s">
        <v>80</v>
      </c>
      <c r="C1" s="150" t="s">
        <v>121</v>
      </c>
      <c r="D1" s="151" t="s">
        <v>122</v>
      </c>
      <c r="F1" s="148" t="s">
        <v>120</v>
      </c>
      <c r="G1" s="149" t="s">
        <v>80</v>
      </c>
      <c r="H1" s="150" t="s">
        <v>121</v>
      </c>
      <c r="I1" s="151" t="s">
        <v>122</v>
      </c>
    </row>
    <row r="2" spans="1:9" ht="12.75" customHeight="1">
      <c r="A2" s="168"/>
      <c r="B2" s="181"/>
      <c r="C2" s="182" t="s">
        <v>134</v>
      </c>
      <c r="D2" s="183"/>
      <c r="F2" s="168">
        <f>A22</f>
        <v>184.8</v>
      </c>
      <c r="G2" s="181" t="s">
        <v>81</v>
      </c>
      <c r="H2" s="196" t="s">
        <v>166</v>
      </c>
      <c r="I2" s="183">
        <v>65.5</v>
      </c>
    </row>
    <row r="3" spans="1:9" ht="12.75" customHeight="1">
      <c r="A3" s="163"/>
      <c r="B3" s="184"/>
      <c r="C3" s="177" t="s">
        <v>124</v>
      </c>
      <c r="D3" s="185"/>
      <c r="F3" s="163">
        <f>F2+I2</f>
        <v>250.3</v>
      </c>
      <c r="G3" s="152" t="s">
        <v>82</v>
      </c>
      <c r="H3" s="197" t="s">
        <v>137</v>
      </c>
      <c r="I3" s="185">
        <v>0.4</v>
      </c>
    </row>
    <row r="4" spans="1:9" ht="12.75" customHeight="1">
      <c r="A4" s="163"/>
      <c r="B4" s="152"/>
      <c r="C4" s="186"/>
      <c r="D4" s="185"/>
      <c r="F4" s="163"/>
      <c r="G4" s="152"/>
      <c r="H4" s="197"/>
      <c r="I4" s="185"/>
    </row>
    <row r="5" spans="1:9" ht="12.75" customHeight="1">
      <c r="A5" s="163">
        <v>0</v>
      </c>
      <c r="B5" s="152" t="s">
        <v>81</v>
      </c>
      <c r="C5" s="187" t="s">
        <v>125</v>
      </c>
      <c r="D5" s="185">
        <v>0</v>
      </c>
      <c r="F5" s="188">
        <f>F3+I3</f>
        <v>250.70000000000002</v>
      </c>
      <c r="G5" s="189" t="s">
        <v>82</v>
      </c>
      <c r="H5" s="198" t="s">
        <v>167</v>
      </c>
      <c r="I5" s="185"/>
    </row>
    <row r="6" spans="1:9" ht="12.75" customHeight="1">
      <c r="A6" s="163">
        <f aca="true" t="shared" si="0" ref="A6:A12">A5+D5</f>
        <v>0</v>
      </c>
      <c r="B6" s="152" t="s">
        <v>82</v>
      </c>
      <c r="C6" s="187" t="s">
        <v>173</v>
      </c>
      <c r="D6" s="185">
        <v>10.9</v>
      </c>
      <c r="F6" s="188"/>
      <c r="G6" s="189"/>
      <c r="H6" s="198" t="s">
        <v>129</v>
      </c>
      <c r="I6" s="185"/>
    </row>
    <row r="7" spans="1:11" ht="12.75" customHeight="1">
      <c r="A7" s="163">
        <f t="shared" si="0"/>
        <v>10.9</v>
      </c>
      <c r="B7" s="152" t="s">
        <v>123</v>
      </c>
      <c r="C7" s="187" t="s">
        <v>174</v>
      </c>
      <c r="D7" s="185">
        <v>59.5</v>
      </c>
      <c r="F7" s="163"/>
      <c r="G7" s="199"/>
      <c r="H7" s="197"/>
      <c r="I7" s="185"/>
      <c r="K7" s="107"/>
    </row>
    <row r="8" spans="1:9" ht="12.75" customHeight="1">
      <c r="A8" s="163">
        <f t="shared" si="0"/>
        <v>70.4</v>
      </c>
      <c r="B8" s="152" t="s">
        <v>123</v>
      </c>
      <c r="C8" s="187" t="s">
        <v>158</v>
      </c>
      <c r="D8" s="185">
        <v>1.5</v>
      </c>
      <c r="F8" s="163"/>
      <c r="G8" s="152" t="s">
        <v>138</v>
      </c>
      <c r="H8" s="197" t="s">
        <v>168</v>
      </c>
      <c r="I8" s="185">
        <v>0.4</v>
      </c>
    </row>
    <row r="9" spans="1:9" ht="12.75" customHeight="1">
      <c r="A9" s="163">
        <f t="shared" si="0"/>
        <v>71.9</v>
      </c>
      <c r="B9" s="152" t="s">
        <v>81</v>
      </c>
      <c r="C9" s="187" t="s">
        <v>175</v>
      </c>
      <c r="D9" s="185">
        <v>0.3</v>
      </c>
      <c r="F9" s="163">
        <f>F5+I8</f>
        <v>251.10000000000002</v>
      </c>
      <c r="G9" s="200" t="s">
        <v>82</v>
      </c>
      <c r="H9" s="197" t="s">
        <v>169</v>
      </c>
      <c r="I9" s="185">
        <v>64.1</v>
      </c>
    </row>
    <row r="10" spans="1:9" ht="12.75" customHeight="1">
      <c r="A10" s="163">
        <f t="shared" si="0"/>
        <v>72.2</v>
      </c>
      <c r="B10" s="152" t="s">
        <v>82</v>
      </c>
      <c r="C10" s="187" t="s">
        <v>159</v>
      </c>
      <c r="D10" s="185">
        <v>1.6</v>
      </c>
      <c r="F10" s="163">
        <f>F9+I9</f>
        <v>315.20000000000005</v>
      </c>
      <c r="G10" s="152" t="s">
        <v>123</v>
      </c>
      <c r="H10" s="197" t="s">
        <v>176</v>
      </c>
      <c r="I10" s="185">
        <v>36.1</v>
      </c>
    </row>
    <row r="11" spans="1:9" ht="12.75" customHeight="1">
      <c r="A11" s="163">
        <f t="shared" si="0"/>
        <v>73.8</v>
      </c>
      <c r="B11" s="152" t="s">
        <v>81</v>
      </c>
      <c r="C11" s="187" t="s">
        <v>160</v>
      </c>
      <c r="D11" s="185">
        <v>34.4</v>
      </c>
      <c r="F11" s="163">
        <f>F10+I10</f>
        <v>351.30000000000007</v>
      </c>
      <c r="G11" s="200" t="s">
        <v>123</v>
      </c>
      <c r="H11" s="197" t="s">
        <v>177</v>
      </c>
      <c r="I11" s="185">
        <v>4.2</v>
      </c>
    </row>
    <row r="12" spans="1:9" ht="12.75" customHeight="1">
      <c r="A12" s="163">
        <f t="shared" si="0"/>
        <v>108.19999999999999</v>
      </c>
      <c r="B12" s="152" t="s">
        <v>123</v>
      </c>
      <c r="C12" s="187" t="s">
        <v>161</v>
      </c>
      <c r="D12" s="185">
        <v>3.4</v>
      </c>
      <c r="F12" s="163">
        <f>F11+I11</f>
        <v>355.50000000000006</v>
      </c>
      <c r="G12" s="200" t="s">
        <v>81</v>
      </c>
      <c r="H12" s="197" t="s">
        <v>170</v>
      </c>
      <c r="I12" s="185">
        <v>0.35</v>
      </c>
    </row>
    <row r="13" spans="1:9" ht="12.75" customHeight="1">
      <c r="A13" s="163"/>
      <c r="B13" s="152"/>
      <c r="C13" s="187"/>
      <c r="D13" s="185"/>
      <c r="F13" s="163"/>
      <c r="G13" s="152"/>
      <c r="H13" s="197"/>
      <c r="I13" s="185"/>
    </row>
    <row r="14" spans="1:9" ht="12.75" customHeight="1">
      <c r="A14" s="188">
        <f>A12+D12</f>
        <v>111.6</v>
      </c>
      <c r="B14" s="189" t="s">
        <v>82</v>
      </c>
      <c r="C14" s="190" t="s">
        <v>83</v>
      </c>
      <c r="D14" s="191"/>
      <c r="F14" s="188">
        <f>F12+I12</f>
        <v>355.8500000000001</v>
      </c>
      <c r="G14" s="189" t="s">
        <v>81</v>
      </c>
      <c r="H14" s="198" t="s">
        <v>171</v>
      </c>
      <c r="I14" s="191"/>
    </row>
    <row r="15" spans="1:9" ht="12.75" customHeight="1">
      <c r="A15" s="188"/>
      <c r="B15" s="189"/>
      <c r="C15" s="190" t="s">
        <v>127</v>
      </c>
      <c r="D15" s="191"/>
      <c r="F15" s="188"/>
      <c r="G15" s="189"/>
      <c r="H15" s="198" t="s">
        <v>130</v>
      </c>
      <c r="I15" s="191"/>
    </row>
    <row r="16" spans="1:9" ht="12.75" customHeight="1">
      <c r="A16" s="163"/>
      <c r="B16" s="152"/>
      <c r="C16" s="187"/>
      <c r="D16" s="185"/>
      <c r="F16" s="163"/>
      <c r="G16" s="152"/>
      <c r="H16" s="197"/>
      <c r="I16" s="185"/>
    </row>
    <row r="17" spans="1:9" ht="12.75" customHeight="1">
      <c r="A17" s="163"/>
      <c r="B17" s="152" t="s">
        <v>82</v>
      </c>
      <c r="C17" s="187" t="s">
        <v>162</v>
      </c>
      <c r="D17" s="185">
        <v>5.8</v>
      </c>
      <c r="F17" s="163">
        <f>F14</f>
        <v>355.8500000000001</v>
      </c>
      <c r="G17" s="152" t="s">
        <v>82</v>
      </c>
      <c r="H17" s="197" t="s">
        <v>84</v>
      </c>
      <c r="I17" s="185">
        <v>0.35</v>
      </c>
    </row>
    <row r="18" spans="1:9" ht="12.75" customHeight="1">
      <c r="A18" s="163">
        <f>A14+D17</f>
        <v>117.39999999999999</v>
      </c>
      <c r="B18" s="152" t="s">
        <v>81</v>
      </c>
      <c r="C18" s="187" t="s">
        <v>163</v>
      </c>
      <c r="D18" s="185">
        <v>2.5</v>
      </c>
      <c r="F18" s="163">
        <f>F17+I17</f>
        <v>356.2000000000001</v>
      </c>
      <c r="G18" s="152" t="s">
        <v>82</v>
      </c>
      <c r="H18" s="197" t="s">
        <v>172</v>
      </c>
      <c r="I18" s="185">
        <v>4.2</v>
      </c>
    </row>
    <row r="19" spans="1:9" ht="12.75" customHeight="1">
      <c r="A19" s="163">
        <f>A18+D18</f>
        <v>119.89999999999999</v>
      </c>
      <c r="B19" s="152" t="s">
        <v>81</v>
      </c>
      <c r="C19" s="187" t="s">
        <v>164</v>
      </c>
      <c r="D19" s="185">
        <v>0.7</v>
      </c>
      <c r="F19" s="163">
        <f>F18+I18</f>
        <v>360.4000000000001</v>
      </c>
      <c r="G19" s="152" t="s">
        <v>123</v>
      </c>
      <c r="H19" s="197" t="s">
        <v>85</v>
      </c>
      <c r="I19" s="185">
        <v>36.1</v>
      </c>
    </row>
    <row r="20" spans="1:9" ht="12.75" customHeight="1">
      <c r="A20" s="163">
        <f>A19+D19</f>
        <v>120.6</v>
      </c>
      <c r="B20" s="152" t="s">
        <v>123</v>
      </c>
      <c r="C20" s="187" t="s">
        <v>165</v>
      </c>
      <c r="D20" s="185">
        <v>64.2</v>
      </c>
      <c r="F20" s="163">
        <f>F19+I19</f>
        <v>396.5000000000001</v>
      </c>
      <c r="G20" s="152" t="s">
        <v>123</v>
      </c>
      <c r="H20" s="197" t="s">
        <v>178</v>
      </c>
      <c r="I20" s="185">
        <v>64.1</v>
      </c>
    </row>
    <row r="21" spans="1:9" ht="12.75" customHeight="1">
      <c r="A21" s="163"/>
      <c r="B21" s="152"/>
      <c r="C21" s="192"/>
      <c r="D21" s="185"/>
      <c r="F21" s="163">
        <f>F20+I20</f>
        <v>460.60000000000014</v>
      </c>
      <c r="G21" s="152" t="s">
        <v>81</v>
      </c>
      <c r="H21" s="197" t="s">
        <v>137</v>
      </c>
      <c r="I21" s="185">
        <v>0.4</v>
      </c>
    </row>
    <row r="22" spans="1:9" ht="12.75" customHeight="1">
      <c r="A22" s="188">
        <f>A20+D20</f>
        <v>184.8</v>
      </c>
      <c r="B22" s="189" t="s">
        <v>81</v>
      </c>
      <c r="C22" s="189" t="s">
        <v>280</v>
      </c>
      <c r="D22" s="191"/>
      <c r="F22" s="188">
        <f>F21+I21</f>
        <v>461.0000000000001</v>
      </c>
      <c r="G22" s="189" t="s">
        <v>82</v>
      </c>
      <c r="H22" s="198" t="s">
        <v>282</v>
      </c>
      <c r="I22" s="191"/>
    </row>
    <row r="23" spans="1:9" ht="12.75" customHeight="1" thickBot="1">
      <c r="A23" s="193"/>
      <c r="B23" s="194"/>
      <c r="C23" s="194" t="s">
        <v>281</v>
      </c>
      <c r="D23" s="195"/>
      <c r="F23" s="193"/>
      <c r="G23" s="194"/>
      <c r="H23" s="201" t="s">
        <v>129</v>
      </c>
      <c r="I23" s="195"/>
    </row>
    <row r="24" spans="1:9" ht="4.5" customHeight="1" thickBot="1">
      <c r="A24" s="78"/>
      <c r="B24" s="79"/>
      <c r="C24" s="80"/>
      <c r="D24" s="78"/>
      <c r="F24" s="78"/>
      <c r="G24" s="79"/>
      <c r="H24" s="80"/>
      <c r="I24" s="78"/>
    </row>
    <row r="25" spans="1:9" ht="51.75" customHeight="1" thickBot="1">
      <c r="A25" s="148" t="s">
        <v>120</v>
      </c>
      <c r="B25" s="149" t="s">
        <v>80</v>
      </c>
      <c r="C25" s="150" t="s">
        <v>121</v>
      </c>
      <c r="D25" s="151" t="s">
        <v>122</v>
      </c>
      <c r="F25" s="148" t="s">
        <v>120</v>
      </c>
      <c r="G25" s="149" t="s">
        <v>80</v>
      </c>
      <c r="H25" s="150" t="s">
        <v>121</v>
      </c>
      <c r="I25" s="151" t="s">
        <v>122</v>
      </c>
    </row>
    <row r="26" spans="1:104" s="81" customFormat="1" ht="12.75" customHeight="1">
      <c r="A26" s="168"/>
      <c r="B26" s="181" t="s">
        <v>138</v>
      </c>
      <c r="C26" s="196" t="s">
        <v>168</v>
      </c>
      <c r="D26" s="183">
        <v>0.4</v>
      </c>
      <c r="E26"/>
      <c r="F26" s="168">
        <f>A46</f>
        <v>700.7</v>
      </c>
      <c r="G26" s="181" t="s">
        <v>81</v>
      </c>
      <c r="H26" s="196" t="s">
        <v>188</v>
      </c>
      <c r="I26" s="183">
        <v>10.9</v>
      </c>
      <c r="J26"/>
      <c r="K26" s="10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81" customFormat="1" ht="12.75" customHeight="1">
      <c r="A27" s="163">
        <f>F22+D26</f>
        <v>461.4000000000001</v>
      </c>
      <c r="B27" s="152" t="s">
        <v>81</v>
      </c>
      <c r="C27" s="197" t="s">
        <v>179</v>
      </c>
      <c r="D27" s="185">
        <v>65.5</v>
      </c>
      <c r="E27"/>
      <c r="F27" s="163">
        <f aca="true" t="shared" si="1" ref="F27:F47">F26+I26</f>
        <v>711.6</v>
      </c>
      <c r="G27" s="152" t="s">
        <v>123</v>
      </c>
      <c r="H27" s="197" t="s">
        <v>189</v>
      </c>
      <c r="I27" s="185">
        <v>5.5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81" customFormat="1" ht="12.75" customHeight="1">
      <c r="A28" s="163"/>
      <c r="B28" s="152"/>
      <c r="C28" s="197"/>
      <c r="D28" s="185"/>
      <c r="E28"/>
      <c r="F28" s="163">
        <f t="shared" si="1"/>
        <v>717.1</v>
      </c>
      <c r="G28" s="152" t="s">
        <v>81</v>
      </c>
      <c r="H28" s="197" t="s">
        <v>190</v>
      </c>
      <c r="I28" s="185">
        <v>13.6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81" customFormat="1" ht="12.75" customHeight="1">
      <c r="A29" s="188">
        <f>A27+D27</f>
        <v>526.9000000000001</v>
      </c>
      <c r="B29" s="189" t="s">
        <v>82</v>
      </c>
      <c r="C29" s="198" t="s">
        <v>180</v>
      </c>
      <c r="D29" s="191"/>
      <c r="E29"/>
      <c r="F29" s="163">
        <f t="shared" si="1"/>
        <v>730.7</v>
      </c>
      <c r="G29" s="152" t="s">
        <v>81</v>
      </c>
      <c r="H29" s="197" t="s">
        <v>191</v>
      </c>
      <c r="I29" s="185">
        <v>0.2</v>
      </c>
      <c r="J29"/>
      <c r="K29" s="10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81" customFormat="1" ht="12.75" customHeight="1">
      <c r="A30" s="188"/>
      <c r="B30" s="189"/>
      <c r="C30" s="198" t="s">
        <v>128</v>
      </c>
      <c r="D30" s="191"/>
      <c r="E30"/>
      <c r="F30" s="163">
        <f t="shared" si="1"/>
        <v>730.9000000000001</v>
      </c>
      <c r="G30" s="152" t="s">
        <v>82</v>
      </c>
      <c r="H30" s="197" t="s">
        <v>192</v>
      </c>
      <c r="I30" s="202">
        <v>0.1</v>
      </c>
      <c r="J30"/>
      <c r="K30" s="10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81" customFormat="1" ht="12.75" customHeight="1">
      <c r="A31" s="163"/>
      <c r="B31" s="152"/>
      <c r="C31" s="197"/>
      <c r="D31" s="185"/>
      <c r="E31"/>
      <c r="F31" s="163">
        <f t="shared" si="1"/>
        <v>731.0000000000001</v>
      </c>
      <c r="G31" s="152" t="s">
        <v>139</v>
      </c>
      <c r="H31" s="197" t="s">
        <v>193</v>
      </c>
      <c r="I31" s="185">
        <v>0.7</v>
      </c>
      <c r="J31"/>
      <c r="K31" s="10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81" customFormat="1" ht="12.75" customHeight="1">
      <c r="A32" s="163">
        <f>A29</f>
        <v>526.9000000000001</v>
      </c>
      <c r="B32" s="152" t="s">
        <v>82</v>
      </c>
      <c r="C32" s="197" t="s">
        <v>85</v>
      </c>
      <c r="D32" s="185">
        <v>64.7</v>
      </c>
      <c r="E32"/>
      <c r="F32" s="163">
        <f t="shared" si="1"/>
        <v>731.7000000000002</v>
      </c>
      <c r="G32" s="152" t="s">
        <v>123</v>
      </c>
      <c r="H32" s="197" t="s">
        <v>194</v>
      </c>
      <c r="I32" s="185">
        <v>0.6</v>
      </c>
      <c r="J32" s="107"/>
      <c r="K32" s="10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81" customFormat="1" ht="12.75" customHeight="1">
      <c r="A33" s="163">
        <f>A32+D32</f>
        <v>591.6000000000001</v>
      </c>
      <c r="B33" s="152" t="s">
        <v>82</v>
      </c>
      <c r="C33" s="197" t="s">
        <v>181</v>
      </c>
      <c r="D33" s="202">
        <v>2.6</v>
      </c>
      <c r="E33"/>
      <c r="F33" s="206">
        <f t="shared" si="1"/>
        <v>732.3000000000002</v>
      </c>
      <c r="G33" s="173" t="s">
        <v>82</v>
      </c>
      <c r="H33" s="197" t="s">
        <v>195</v>
      </c>
      <c r="I33" s="207">
        <v>0.4</v>
      </c>
      <c r="J33" s="107"/>
      <c r="K33" s="10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81" customFormat="1" ht="12.75" customHeight="1">
      <c r="A34" s="163">
        <f>A33+D33</f>
        <v>594.2000000000002</v>
      </c>
      <c r="B34" s="152" t="s">
        <v>82</v>
      </c>
      <c r="C34" s="197" t="s">
        <v>182</v>
      </c>
      <c r="D34" s="185">
        <v>5.8</v>
      </c>
      <c r="E34"/>
      <c r="F34" s="206">
        <f t="shared" si="1"/>
        <v>732.7000000000002</v>
      </c>
      <c r="G34" s="173" t="s">
        <v>81</v>
      </c>
      <c r="H34" s="197" t="s">
        <v>196</v>
      </c>
      <c r="I34" s="207">
        <v>0.3</v>
      </c>
      <c r="J34"/>
      <c r="K34" s="10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81" customFormat="1" ht="12.75" customHeight="1">
      <c r="A35" s="203"/>
      <c r="B35" s="204"/>
      <c r="C35" s="197"/>
      <c r="D35" s="205"/>
      <c r="E35"/>
      <c r="F35" s="206">
        <f t="shared" si="1"/>
        <v>733.0000000000001</v>
      </c>
      <c r="G35" s="173" t="s">
        <v>82</v>
      </c>
      <c r="H35" s="197" t="s">
        <v>197</v>
      </c>
      <c r="I35" s="185">
        <v>2.7</v>
      </c>
      <c r="J35"/>
      <c r="K35" s="10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81" customFormat="1" ht="12.75" customHeight="1">
      <c r="A36" s="188">
        <f>A34+D34</f>
        <v>600.0000000000001</v>
      </c>
      <c r="B36" s="189" t="s">
        <v>81</v>
      </c>
      <c r="C36" s="198" t="s">
        <v>135</v>
      </c>
      <c r="D36" s="191"/>
      <c r="E36"/>
      <c r="F36" s="206">
        <f t="shared" si="1"/>
        <v>735.7000000000002</v>
      </c>
      <c r="G36" s="173" t="s">
        <v>123</v>
      </c>
      <c r="H36" s="197" t="s">
        <v>198</v>
      </c>
      <c r="I36" s="185">
        <v>0.2</v>
      </c>
      <c r="J36"/>
      <c r="K36" s="10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81" customFormat="1" ht="12.75" customHeight="1">
      <c r="A37" s="188"/>
      <c r="B37" s="189"/>
      <c r="C37" s="198" t="s">
        <v>127</v>
      </c>
      <c r="D37" s="191"/>
      <c r="E37"/>
      <c r="F37" s="206">
        <f t="shared" si="1"/>
        <v>735.9000000000002</v>
      </c>
      <c r="G37" s="173" t="s">
        <v>81</v>
      </c>
      <c r="H37" s="197" t="s">
        <v>199</v>
      </c>
      <c r="I37" s="185">
        <v>2.8</v>
      </c>
      <c r="J37"/>
      <c r="K37" s="10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81" customFormat="1" ht="12.75" customHeight="1">
      <c r="A38" s="163"/>
      <c r="B38" s="152"/>
      <c r="C38" s="197"/>
      <c r="D38" s="185"/>
      <c r="E38"/>
      <c r="F38" s="163">
        <f t="shared" si="1"/>
        <v>738.7000000000002</v>
      </c>
      <c r="G38" s="173" t="s">
        <v>81</v>
      </c>
      <c r="H38" s="197" t="s">
        <v>200</v>
      </c>
      <c r="I38" s="185">
        <v>1.1</v>
      </c>
      <c r="J38"/>
      <c r="K38" s="10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81" customFormat="1" ht="12.75" customHeight="1">
      <c r="A39" s="163"/>
      <c r="B39" s="152" t="s">
        <v>81</v>
      </c>
      <c r="C39" s="197" t="s">
        <v>183</v>
      </c>
      <c r="D39" s="185">
        <v>3.4</v>
      </c>
      <c r="E39"/>
      <c r="F39" s="163">
        <f t="shared" si="1"/>
        <v>739.8000000000002</v>
      </c>
      <c r="G39" s="173" t="s">
        <v>123</v>
      </c>
      <c r="H39" s="197" t="s">
        <v>198</v>
      </c>
      <c r="I39" s="185"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81" customFormat="1" ht="12.75" customHeight="1">
      <c r="A40" s="163">
        <f>A36+D39</f>
        <v>603.4000000000001</v>
      </c>
      <c r="B40" s="152" t="s">
        <v>123</v>
      </c>
      <c r="C40" s="197" t="s">
        <v>185</v>
      </c>
      <c r="D40" s="185">
        <v>34.4</v>
      </c>
      <c r="E40"/>
      <c r="F40" s="163">
        <f t="shared" si="1"/>
        <v>739.8000000000002</v>
      </c>
      <c r="G40" s="152" t="s">
        <v>123</v>
      </c>
      <c r="H40" s="197" t="s">
        <v>201</v>
      </c>
      <c r="I40" s="185">
        <v>8.1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81" customFormat="1" ht="12.75" customHeight="1">
      <c r="A41" s="163">
        <f>A40+D40</f>
        <v>637.8000000000001</v>
      </c>
      <c r="B41" s="152" t="s">
        <v>82</v>
      </c>
      <c r="C41" s="197" t="s">
        <v>159</v>
      </c>
      <c r="D41" s="185">
        <v>1.6</v>
      </c>
      <c r="E41"/>
      <c r="F41" s="163">
        <f t="shared" si="1"/>
        <v>747.9000000000002</v>
      </c>
      <c r="G41" s="173" t="s">
        <v>123</v>
      </c>
      <c r="H41" s="197" t="s">
        <v>198</v>
      </c>
      <c r="I41" s="185"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81" customFormat="1" ht="12.75" customHeight="1">
      <c r="A42" s="163">
        <f>A41+D41</f>
        <v>639.4000000000001</v>
      </c>
      <c r="B42" s="152" t="s">
        <v>81</v>
      </c>
      <c r="C42" s="197" t="s">
        <v>186</v>
      </c>
      <c r="D42" s="185">
        <v>0.3</v>
      </c>
      <c r="E42"/>
      <c r="F42" s="163">
        <f t="shared" si="1"/>
        <v>747.9000000000002</v>
      </c>
      <c r="G42" s="152" t="s">
        <v>123</v>
      </c>
      <c r="H42" s="197" t="s">
        <v>201</v>
      </c>
      <c r="I42" s="185">
        <v>0.7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81" customFormat="1" ht="12.75" customHeight="1">
      <c r="A43" s="163">
        <f>A42+D42</f>
        <v>639.7</v>
      </c>
      <c r="B43" s="152" t="s">
        <v>82</v>
      </c>
      <c r="C43" s="197" t="s">
        <v>187</v>
      </c>
      <c r="D43" s="185">
        <v>1.5</v>
      </c>
      <c r="E43"/>
      <c r="F43" s="163">
        <f t="shared" si="1"/>
        <v>748.6000000000003</v>
      </c>
      <c r="G43" s="208" t="s">
        <v>123</v>
      </c>
      <c r="H43" s="197" t="s">
        <v>202</v>
      </c>
      <c r="I43" s="185">
        <v>1</v>
      </c>
      <c r="J43"/>
      <c r="K43" s="10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81" customFormat="1" ht="12.75" customHeight="1">
      <c r="A44" s="163">
        <f>A43+D43</f>
        <v>641.2</v>
      </c>
      <c r="B44" s="152" t="s">
        <v>123</v>
      </c>
      <c r="C44" s="197" t="s">
        <v>158</v>
      </c>
      <c r="D44" s="185">
        <v>59.5</v>
      </c>
      <c r="E44"/>
      <c r="F44" s="163">
        <f t="shared" si="1"/>
        <v>749.6000000000003</v>
      </c>
      <c r="G44" s="173" t="s">
        <v>81</v>
      </c>
      <c r="H44" s="197" t="s">
        <v>203</v>
      </c>
      <c r="I44" s="185">
        <v>0.8</v>
      </c>
      <c r="J44"/>
      <c r="K44" s="10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81" customFormat="1" ht="12.75" customHeight="1">
      <c r="A45" s="203"/>
      <c r="B45" s="204"/>
      <c r="C45" s="197"/>
      <c r="D45" s="205"/>
      <c r="E45"/>
      <c r="F45" s="163">
        <f t="shared" si="1"/>
        <v>750.4000000000002</v>
      </c>
      <c r="G45" s="173" t="s">
        <v>82</v>
      </c>
      <c r="H45" s="197" t="s">
        <v>204</v>
      </c>
      <c r="I45" s="185">
        <v>1.3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81" customFormat="1" ht="12.75" customHeight="1">
      <c r="A46" s="188">
        <f>A44+D44</f>
        <v>700.7</v>
      </c>
      <c r="B46" s="189" t="s">
        <v>81</v>
      </c>
      <c r="C46" s="198" t="s">
        <v>184</v>
      </c>
      <c r="D46" s="191"/>
      <c r="E46"/>
      <c r="F46" s="163">
        <f t="shared" si="1"/>
        <v>751.7000000000002</v>
      </c>
      <c r="G46" s="173" t="s">
        <v>81</v>
      </c>
      <c r="H46" s="197" t="s">
        <v>205</v>
      </c>
      <c r="I46" s="185">
        <v>0.8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 customHeight="1" thickBot="1">
      <c r="A47" s="193"/>
      <c r="B47" s="194"/>
      <c r="C47" s="201" t="s">
        <v>131</v>
      </c>
      <c r="D47" s="195"/>
      <c r="F47" s="169">
        <f t="shared" si="1"/>
        <v>752.5000000000001</v>
      </c>
      <c r="G47" s="209" t="s">
        <v>82</v>
      </c>
      <c r="H47" s="210" t="s">
        <v>206</v>
      </c>
      <c r="I47" s="211">
        <v>0.4</v>
      </c>
    </row>
    <row r="48" spans="2:7" ht="4.5" customHeight="1" thickBot="1">
      <c r="B48" s="84"/>
      <c r="D48" s="84"/>
      <c r="F48" s="84"/>
      <c r="G48" s="84"/>
    </row>
    <row r="49" spans="1:9" ht="58.5" customHeight="1" thickBot="1">
      <c r="A49" s="160" t="s">
        <v>120</v>
      </c>
      <c r="B49" s="161" t="s">
        <v>80</v>
      </c>
      <c r="C49" s="162" t="s">
        <v>121</v>
      </c>
      <c r="D49" s="151" t="s">
        <v>122</v>
      </c>
      <c r="F49" s="148" t="s">
        <v>120</v>
      </c>
      <c r="G49" s="149" t="s">
        <v>80</v>
      </c>
      <c r="H49" s="150" t="s">
        <v>121</v>
      </c>
      <c r="I49" s="151" t="s">
        <v>122</v>
      </c>
    </row>
    <row r="50" spans="1:104" s="81" customFormat="1" ht="12.75" customHeight="1">
      <c r="A50" s="168">
        <f>F47+I47</f>
        <v>752.9000000000001</v>
      </c>
      <c r="B50" s="212" t="s">
        <v>81</v>
      </c>
      <c r="C50" s="213" t="s">
        <v>207</v>
      </c>
      <c r="D50" s="183">
        <v>1.7</v>
      </c>
      <c r="E50"/>
      <c r="F50" s="170">
        <f>A71</f>
        <v>843.3000000000001</v>
      </c>
      <c r="G50" s="221" t="s">
        <v>81</v>
      </c>
      <c r="H50" s="222" t="s">
        <v>145</v>
      </c>
      <c r="I50" s="18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81" customFormat="1" ht="12.75" customHeight="1">
      <c r="A51" s="163">
        <f aca="true" t="shared" si="2" ref="A51:A57">A50+D50</f>
        <v>754.6000000000001</v>
      </c>
      <c r="B51" s="214" t="s">
        <v>140</v>
      </c>
      <c r="C51" s="187" t="s">
        <v>223</v>
      </c>
      <c r="D51" s="185">
        <v>0.9</v>
      </c>
      <c r="E51"/>
      <c r="F51" s="163"/>
      <c r="G51" s="152"/>
      <c r="H51" s="198" t="s">
        <v>144</v>
      </c>
      <c r="I51" s="185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04" s="81" customFormat="1" ht="12.75" customHeight="1">
      <c r="A52" s="163">
        <f t="shared" si="2"/>
        <v>755.5000000000001</v>
      </c>
      <c r="B52" s="214" t="s">
        <v>81</v>
      </c>
      <c r="C52" s="187" t="s">
        <v>208</v>
      </c>
      <c r="D52" s="185">
        <v>0.5</v>
      </c>
      <c r="E52"/>
      <c r="F52" s="163"/>
      <c r="G52" s="152"/>
      <c r="H52" s="197"/>
      <c r="I52" s="18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04" s="81" customFormat="1" ht="12.75" customHeight="1">
      <c r="A53" s="163">
        <f t="shared" si="2"/>
        <v>756.0000000000001</v>
      </c>
      <c r="B53" s="173" t="s">
        <v>123</v>
      </c>
      <c r="C53" s="187" t="s">
        <v>209</v>
      </c>
      <c r="D53" s="185">
        <v>3.1</v>
      </c>
      <c r="E53"/>
      <c r="F53" s="163">
        <f>F50</f>
        <v>843.3000000000001</v>
      </c>
      <c r="G53" s="214" t="s">
        <v>138</v>
      </c>
      <c r="H53" s="197" t="s">
        <v>242</v>
      </c>
      <c r="I53" s="185">
        <v>7.5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1:104" s="81" customFormat="1" ht="12.75" customHeight="1">
      <c r="A54" s="163">
        <f t="shared" si="2"/>
        <v>759.1000000000001</v>
      </c>
      <c r="B54" s="215" t="s">
        <v>139</v>
      </c>
      <c r="C54" s="187" t="s">
        <v>224</v>
      </c>
      <c r="D54" s="216">
        <v>2.8</v>
      </c>
      <c r="E54"/>
      <c r="F54" s="163">
        <f>F53+I53</f>
        <v>850.8000000000001</v>
      </c>
      <c r="G54" s="173" t="s">
        <v>81</v>
      </c>
      <c r="H54" s="197" t="s">
        <v>243</v>
      </c>
      <c r="I54" s="185">
        <v>3.3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</row>
    <row r="55" spans="1:104" s="81" customFormat="1" ht="12.75" customHeight="1">
      <c r="A55" s="163">
        <f t="shared" si="2"/>
        <v>761.9000000000001</v>
      </c>
      <c r="B55" s="173" t="s">
        <v>82</v>
      </c>
      <c r="C55" s="187" t="s">
        <v>211</v>
      </c>
      <c r="D55" s="185">
        <v>3.9</v>
      </c>
      <c r="E55"/>
      <c r="F55" s="163">
        <f>F54+I54</f>
        <v>854.1</v>
      </c>
      <c r="G55" s="152" t="s">
        <v>81</v>
      </c>
      <c r="H55" s="197" t="s">
        <v>244</v>
      </c>
      <c r="I55" s="185">
        <v>3.1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</row>
    <row r="56" spans="1:104" s="81" customFormat="1" ht="12.75" customHeight="1">
      <c r="A56" s="163">
        <f t="shared" si="2"/>
        <v>765.8000000000001</v>
      </c>
      <c r="B56" s="173" t="s">
        <v>81</v>
      </c>
      <c r="C56" s="187" t="s">
        <v>212</v>
      </c>
      <c r="D56" s="185">
        <v>0.4</v>
      </c>
      <c r="E56"/>
      <c r="F56" s="163">
        <f>F55+I55</f>
        <v>857.2</v>
      </c>
      <c r="G56" s="173" t="s">
        <v>82</v>
      </c>
      <c r="H56" s="197" t="s">
        <v>245</v>
      </c>
      <c r="I56" s="185">
        <v>0.6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</row>
    <row r="57" spans="1:104" s="81" customFormat="1" ht="12.75" customHeight="1">
      <c r="A57" s="163">
        <f t="shared" si="2"/>
        <v>766.2</v>
      </c>
      <c r="B57" s="152" t="s">
        <v>123</v>
      </c>
      <c r="C57" s="187" t="s">
        <v>213</v>
      </c>
      <c r="D57" s="185">
        <v>35.3</v>
      </c>
      <c r="E57"/>
      <c r="F57" s="163">
        <f>F56+I56</f>
        <v>857.8000000000001</v>
      </c>
      <c r="G57" s="214" t="s">
        <v>81</v>
      </c>
      <c r="H57" s="197" t="s">
        <v>246</v>
      </c>
      <c r="I57" s="207">
        <v>1.5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</row>
    <row r="58" spans="1:104" s="81" customFormat="1" ht="12.75" customHeight="1">
      <c r="A58" s="163"/>
      <c r="B58" s="152"/>
      <c r="C58" s="187"/>
      <c r="D58" s="185"/>
      <c r="E58"/>
      <c r="F58" s="163">
        <f>F57+I57</f>
        <v>859.3000000000001</v>
      </c>
      <c r="G58" s="152" t="s">
        <v>81</v>
      </c>
      <c r="H58" s="197" t="s">
        <v>218</v>
      </c>
      <c r="I58" s="185">
        <v>5.9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</row>
    <row r="59" spans="1:104" s="81" customFormat="1" ht="12.75" customHeight="1">
      <c r="A59" s="217">
        <v>801.5</v>
      </c>
      <c r="B59" s="152"/>
      <c r="C59" s="190" t="s">
        <v>143</v>
      </c>
      <c r="D59" s="185"/>
      <c r="E59"/>
      <c r="F59" s="163">
        <f>F60</f>
        <v>865.2</v>
      </c>
      <c r="G59" s="173" t="s">
        <v>123</v>
      </c>
      <c r="H59" s="197" t="s">
        <v>247</v>
      </c>
      <c r="I59" s="185"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</row>
    <row r="60" spans="1:104" s="81" customFormat="1" ht="12.75" customHeight="1">
      <c r="A60" s="163"/>
      <c r="B60" s="152"/>
      <c r="C60" s="190" t="s">
        <v>141</v>
      </c>
      <c r="D60" s="185"/>
      <c r="E60"/>
      <c r="F60" s="163">
        <f>F58+I58</f>
        <v>865.2</v>
      </c>
      <c r="G60" s="173" t="s">
        <v>123</v>
      </c>
      <c r="H60" s="197" t="s">
        <v>248</v>
      </c>
      <c r="I60" s="185">
        <v>15</v>
      </c>
      <c r="J60"/>
      <c r="K60" s="107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4" s="81" customFormat="1" ht="12.75" customHeight="1">
      <c r="A61" s="163"/>
      <c r="B61" s="152"/>
      <c r="C61" s="187"/>
      <c r="D61" s="185"/>
      <c r="E61"/>
      <c r="F61" s="163">
        <f aca="true" t="shared" si="3" ref="F61:F69">F60+I60</f>
        <v>880.2</v>
      </c>
      <c r="G61" s="152" t="s">
        <v>81</v>
      </c>
      <c r="H61" s="197" t="s">
        <v>249</v>
      </c>
      <c r="I61" s="185">
        <v>1.6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</row>
    <row r="62" spans="1:104" s="81" customFormat="1" ht="12.75" customHeight="1">
      <c r="A62" s="163">
        <f>A59</f>
        <v>801.5</v>
      </c>
      <c r="B62" s="152" t="s">
        <v>81</v>
      </c>
      <c r="C62" s="187" t="s">
        <v>214</v>
      </c>
      <c r="D62" s="185">
        <v>1.4</v>
      </c>
      <c r="E62"/>
      <c r="F62" s="163">
        <f t="shared" si="3"/>
        <v>881.8000000000001</v>
      </c>
      <c r="G62" s="152" t="s">
        <v>82</v>
      </c>
      <c r="H62" s="197" t="s">
        <v>250</v>
      </c>
      <c r="I62" s="185">
        <v>4.9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1:104" s="81" customFormat="1" ht="12.75" customHeight="1">
      <c r="A63" s="163">
        <f aca="true" t="shared" si="4" ref="A63:A69">A62+D62</f>
        <v>802.9</v>
      </c>
      <c r="B63" s="173" t="s">
        <v>82</v>
      </c>
      <c r="C63" s="187" t="s">
        <v>215</v>
      </c>
      <c r="D63" s="185">
        <v>1.2</v>
      </c>
      <c r="E63"/>
      <c r="F63" s="163">
        <f t="shared" si="3"/>
        <v>886.7</v>
      </c>
      <c r="G63" s="173" t="s">
        <v>81</v>
      </c>
      <c r="H63" s="197" t="s">
        <v>277</v>
      </c>
      <c r="I63" s="185">
        <v>1.4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1:104" s="81" customFormat="1" ht="12.75" customHeight="1">
      <c r="A64" s="218">
        <f t="shared" si="4"/>
        <v>804.1</v>
      </c>
      <c r="B64" s="173" t="s">
        <v>81</v>
      </c>
      <c r="C64" s="187" t="s">
        <v>225</v>
      </c>
      <c r="D64" s="185">
        <v>1.8</v>
      </c>
      <c r="E64"/>
      <c r="F64" s="163">
        <f t="shared" si="3"/>
        <v>888.1</v>
      </c>
      <c r="G64" s="152" t="s">
        <v>81</v>
      </c>
      <c r="H64" s="197" t="s">
        <v>278</v>
      </c>
      <c r="I64" s="185">
        <v>0.2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1:104" s="81" customFormat="1" ht="12.75" customHeight="1">
      <c r="A65" s="163">
        <f t="shared" si="4"/>
        <v>805.9</v>
      </c>
      <c r="B65" s="173" t="s">
        <v>82</v>
      </c>
      <c r="C65" s="187" t="s">
        <v>216</v>
      </c>
      <c r="D65" s="185">
        <v>16.2</v>
      </c>
      <c r="E65"/>
      <c r="F65" s="163">
        <f t="shared" si="3"/>
        <v>888.3000000000001</v>
      </c>
      <c r="G65" s="173" t="s">
        <v>123</v>
      </c>
      <c r="H65" s="197" t="s">
        <v>251</v>
      </c>
      <c r="I65" s="185">
        <v>0.7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</row>
    <row r="66" spans="1:104" s="81" customFormat="1" ht="12.75" customHeight="1">
      <c r="A66" s="163">
        <f t="shared" si="4"/>
        <v>822.1</v>
      </c>
      <c r="B66" s="173" t="s">
        <v>123</v>
      </c>
      <c r="C66" s="187" t="s">
        <v>217</v>
      </c>
      <c r="D66" s="185">
        <v>0</v>
      </c>
      <c r="E66"/>
      <c r="F66" s="163">
        <f t="shared" si="3"/>
        <v>889.0000000000001</v>
      </c>
      <c r="G66" s="173" t="s">
        <v>82</v>
      </c>
      <c r="H66" s="197" t="s">
        <v>279</v>
      </c>
      <c r="I66" s="185">
        <v>1.7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</row>
    <row r="67" spans="1:104" s="81" customFormat="1" ht="12.75" customHeight="1">
      <c r="A67" s="163">
        <f t="shared" si="4"/>
        <v>822.1</v>
      </c>
      <c r="B67" s="173" t="s">
        <v>142</v>
      </c>
      <c r="C67" s="187" t="s">
        <v>218</v>
      </c>
      <c r="D67" s="185">
        <v>7.2</v>
      </c>
      <c r="E67"/>
      <c r="F67" s="163">
        <f t="shared" si="3"/>
        <v>890.7000000000002</v>
      </c>
      <c r="G67" s="152" t="s">
        <v>81</v>
      </c>
      <c r="H67" s="197" t="s">
        <v>252</v>
      </c>
      <c r="I67" s="185">
        <v>3.7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</row>
    <row r="68" spans="1:104" s="81" customFormat="1" ht="12.75" customHeight="1">
      <c r="A68" s="163">
        <f t="shared" si="4"/>
        <v>829.3000000000001</v>
      </c>
      <c r="B68" s="173" t="s">
        <v>81</v>
      </c>
      <c r="C68" s="187" t="s">
        <v>219</v>
      </c>
      <c r="D68" s="207">
        <v>0.4</v>
      </c>
      <c r="E68"/>
      <c r="F68" s="163">
        <f t="shared" si="3"/>
        <v>894.4000000000002</v>
      </c>
      <c r="G68" s="173" t="s">
        <v>81</v>
      </c>
      <c r="H68" s="197" t="s">
        <v>253</v>
      </c>
      <c r="I68" s="185">
        <v>1.6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</row>
    <row r="69" spans="1:104" s="81" customFormat="1" ht="12.75" customHeight="1">
      <c r="A69" s="163">
        <f t="shared" si="4"/>
        <v>829.7</v>
      </c>
      <c r="B69" s="173" t="s">
        <v>82</v>
      </c>
      <c r="C69" s="187" t="s">
        <v>220</v>
      </c>
      <c r="D69" s="207">
        <v>13.6</v>
      </c>
      <c r="E69"/>
      <c r="F69" s="163">
        <f t="shared" si="3"/>
        <v>896.0000000000002</v>
      </c>
      <c r="G69" s="173" t="s">
        <v>82</v>
      </c>
      <c r="H69" s="197" t="s">
        <v>254</v>
      </c>
      <c r="I69" s="185">
        <v>1.9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</row>
    <row r="70" spans="1:104" s="81" customFormat="1" ht="12.75" customHeight="1">
      <c r="A70" s="203"/>
      <c r="B70" s="173"/>
      <c r="C70" s="219" t="s">
        <v>221</v>
      </c>
      <c r="D70" s="185"/>
      <c r="E70"/>
      <c r="F70" s="163">
        <f>F69+I69</f>
        <v>897.9000000000002</v>
      </c>
      <c r="G70" s="152" t="s">
        <v>123</v>
      </c>
      <c r="H70" s="197" t="s">
        <v>255</v>
      </c>
      <c r="I70" s="185">
        <v>2.4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</row>
    <row r="71" spans="1:9" ht="12.75" customHeight="1" thickBot="1">
      <c r="A71" s="169">
        <f>A69+D69</f>
        <v>843.3000000000001</v>
      </c>
      <c r="B71" s="209" t="s">
        <v>82</v>
      </c>
      <c r="C71" s="220" t="s">
        <v>222</v>
      </c>
      <c r="D71" s="211"/>
      <c r="F71" s="169">
        <f>F70+I70</f>
        <v>900.3000000000002</v>
      </c>
      <c r="G71" s="209" t="s">
        <v>82</v>
      </c>
      <c r="H71" s="210" t="s">
        <v>226</v>
      </c>
      <c r="I71" s="211">
        <v>1.5</v>
      </c>
    </row>
    <row r="72" ht="4.5" customHeight="1" thickBot="1"/>
    <row r="73" spans="1:9" ht="58.5" customHeight="1" thickBot="1">
      <c r="A73" s="148" t="s">
        <v>120</v>
      </c>
      <c r="B73" s="149" t="s">
        <v>80</v>
      </c>
      <c r="C73" s="150" t="s">
        <v>121</v>
      </c>
      <c r="D73" s="151" t="s">
        <v>122</v>
      </c>
      <c r="F73" s="148" t="s">
        <v>120</v>
      </c>
      <c r="G73" s="149" t="s">
        <v>80</v>
      </c>
      <c r="H73" s="150" t="s">
        <v>121</v>
      </c>
      <c r="I73" s="151" t="s">
        <v>122</v>
      </c>
    </row>
    <row r="74" spans="1:104" s="81" customFormat="1" ht="12.75" customHeight="1">
      <c r="A74" s="170">
        <f>F71+I71</f>
        <v>901.8000000000002</v>
      </c>
      <c r="B74" s="181"/>
      <c r="C74" s="222" t="s">
        <v>146</v>
      </c>
      <c r="D74" s="172"/>
      <c r="E74"/>
      <c r="F74" s="168">
        <f>A92+D92</f>
        <v>964</v>
      </c>
      <c r="G74" s="171" t="s">
        <v>81</v>
      </c>
      <c r="H74" s="196" t="s">
        <v>256</v>
      </c>
      <c r="I74" s="172">
        <v>3.2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</row>
    <row r="75" spans="1:104" s="81" customFormat="1" ht="12.75" customHeight="1">
      <c r="A75" s="163"/>
      <c r="B75" s="152"/>
      <c r="C75" s="198" t="s">
        <v>147</v>
      </c>
      <c r="D75" s="174"/>
      <c r="E75"/>
      <c r="F75" s="163">
        <f aca="true" t="shared" si="5" ref="F75:F88">F74+I74</f>
        <v>967.2</v>
      </c>
      <c r="G75" s="173" t="s">
        <v>81</v>
      </c>
      <c r="H75" s="197" t="s">
        <v>257</v>
      </c>
      <c r="I75" s="174">
        <v>0.1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</row>
    <row r="76" spans="1:104" s="81" customFormat="1" ht="12.75" customHeight="1">
      <c r="A76" s="163"/>
      <c r="B76" s="152"/>
      <c r="C76" s="198"/>
      <c r="D76" s="174"/>
      <c r="E76"/>
      <c r="F76" s="163">
        <f t="shared" si="5"/>
        <v>967.3000000000001</v>
      </c>
      <c r="G76" s="173" t="s">
        <v>82</v>
      </c>
      <c r="H76" s="197" t="s">
        <v>258</v>
      </c>
      <c r="I76" s="174">
        <v>0.2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</row>
    <row r="77" spans="1:104" s="81" customFormat="1" ht="12.75" customHeight="1">
      <c r="A77" s="218">
        <f>A74</f>
        <v>901.8000000000002</v>
      </c>
      <c r="B77" s="204" t="s">
        <v>81</v>
      </c>
      <c r="C77" s="197" t="s">
        <v>226</v>
      </c>
      <c r="D77" s="205">
        <v>3.7</v>
      </c>
      <c r="E77"/>
      <c r="F77" s="163">
        <f t="shared" si="5"/>
        <v>967.5000000000001</v>
      </c>
      <c r="G77" s="173" t="s">
        <v>81</v>
      </c>
      <c r="H77" s="197" t="s">
        <v>259</v>
      </c>
      <c r="I77" s="174">
        <v>1.1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</row>
    <row r="78" spans="1:104" s="81" customFormat="1" ht="12.75" customHeight="1">
      <c r="A78" s="163">
        <f aca="true" t="shared" si="6" ref="A78:A92">A77+D77</f>
        <v>905.5000000000002</v>
      </c>
      <c r="B78" s="152" t="s">
        <v>123</v>
      </c>
      <c r="C78" s="197" t="s">
        <v>237</v>
      </c>
      <c r="D78" s="174">
        <v>5.1</v>
      </c>
      <c r="E78"/>
      <c r="F78" s="163">
        <f t="shared" si="5"/>
        <v>968.6000000000001</v>
      </c>
      <c r="G78" s="173" t="s">
        <v>123</v>
      </c>
      <c r="H78" s="197" t="s">
        <v>260</v>
      </c>
      <c r="I78" s="174">
        <v>0.2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</row>
    <row r="79" spans="1:104" s="81" customFormat="1" ht="12.75" customHeight="1">
      <c r="A79" s="163">
        <f t="shared" si="6"/>
        <v>910.6000000000003</v>
      </c>
      <c r="B79" s="152" t="s">
        <v>123</v>
      </c>
      <c r="C79" s="197" t="s">
        <v>238</v>
      </c>
      <c r="D79" s="174">
        <v>0.3</v>
      </c>
      <c r="E79"/>
      <c r="F79" s="163">
        <f t="shared" si="5"/>
        <v>968.8000000000002</v>
      </c>
      <c r="G79" s="173" t="s">
        <v>81</v>
      </c>
      <c r="H79" s="197" t="s">
        <v>261</v>
      </c>
      <c r="I79" s="174">
        <v>1.6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</row>
    <row r="80" spans="1:104" s="81" customFormat="1" ht="12.75" customHeight="1">
      <c r="A80" s="163">
        <f t="shared" si="6"/>
        <v>910.9000000000002</v>
      </c>
      <c r="B80" s="173" t="s">
        <v>81</v>
      </c>
      <c r="C80" s="197" t="s">
        <v>227</v>
      </c>
      <c r="D80" s="174">
        <v>1.2</v>
      </c>
      <c r="E80"/>
      <c r="F80" s="163">
        <f t="shared" si="5"/>
        <v>970.4000000000002</v>
      </c>
      <c r="G80" s="173" t="s">
        <v>148</v>
      </c>
      <c r="H80" s="197" t="s">
        <v>262</v>
      </c>
      <c r="I80" s="174">
        <v>0.2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</row>
    <row r="81" spans="1:104" s="81" customFormat="1" ht="12.75" customHeight="1">
      <c r="A81" s="163">
        <f t="shared" si="6"/>
        <v>912.1000000000003</v>
      </c>
      <c r="B81" s="173" t="s">
        <v>81</v>
      </c>
      <c r="C81" s="197" t="s">
        <v>239</v>
      </c>
      <c r="D81" s="223">
        <v>3.9</v>
      </c>
      <c r="E81"/>
      <c r="F81" s="163">
        <f t="shared" si="5"/>
        <v>970.6000000000003</v>
      </c>
      <c r="G81" s="173" t="s">
        <v>139</v>
      </c>
      <c r="H81" s="197" t="s">
        <v>263</v>
      </c>
      <c r="I81" s="174">
        <v>1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</row>
    <row r="82" spans="1:104" s="81" customFormat="1" ht="12.75" customHeight="1">
      <c r="A82" s="163">
        <f t="shared" si="6"/>
        <v>916.0000000000002</v>
      </c>
      <c r="B82" s="173" t="s">
        <v>81</v>
      </c>
      <c r="C82" s="197" t="s">
        <v>228</v>
      </c>
      <c r="D82" s="224">
        <v>0.1</v>
      </c>
      <c r="E82"/>
      <c r="F82" s="163">
        <f t="shared" si="5"/>
        <v>971.6000000000003</v>
      </c>
      <c r="G82" s="173" t="s">
        <v>148</v>
      </c>
      <c r="H82" s="197" t="s">
        <v>264</v>
      </c>
      <c r="I82" s="174">
        <v>0.4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</row>
    <row r="83" spans="1:104" s="81" customFormat="1" ht="12.75" customHeight="1">
      <c r="A83" s="163">
        <f t="shared" si="6"/>
        <v>916.1000000000003</v>
      </c>
      <c r="B83" s="173" t="s">
        <v>82</v>
      </c>
      <c r="C83" s="197" t="s">
        <v>229</v>
      </c>
      <c r="D83" s="174">
        <v>5.9</v>
      </c>
      <c r="E83"/>
      <c r="F83" s="163">
        <f t="shared" si="5"/>
        <v>972.0000000000002</v>
      </c>
      <c r="G83" s="173" t="s">
        <v>82</v>
      </c>
      <c r="H83" s="197" t="s">
        <v>265</v>
      </c>
      <c r="I83" s="174">
        <v>0.2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</row>
    <row r="84" spans="1:104" s="81" customFormat="1" ht="12.75" customHeight="1">
      <c r="A84" s="163">
        <f t="shared" si="6"/>
        <v>922.0000000000002</v>
      </c>
      <c r="B84" s="152" t="s">
        <v>81</v>
      </c>
      <c r="C84" s="197" t="s">
        <v>230</v>
      </c>
      <c r="D84" s="174">
        <v>4.3</v>
      </c>
      <c r="E84"/>
      <c r="F84" s="163">
        <f t="shared" si="5"/>
        <v>972.2000000000003</v>
      </c>
      <c r="G84" s="173" t="s">
        <v>81</v>
      </c>
      <c r="H84" s="197" t="s">
        <v>266</v>
      </c>
      <c r="I84" s="174">
        <v>1.3</v>
      </c>
      <c r="J84"/>
      <c r="K84" s="107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</row>
    <row r="85" spans="1:104" s="81" customFormat="1" ht="12.75" customHeight="1">
      <c r="A85" s="163">
        <f t="shared" si="6"/>
        <v>926.3000000000002</v>
      </c>
      <c r="B85" s="173" t="s">
        <v>123</v>
      </c>
      <c r="C85" s="197" t="s">
        <v>231</v>
      </c>
      <c r="D85" s="174">
        <v>15.1</v>
      </c>
      <c r="E85"/>
      <c r="F85" s="163">
        <f t="shared" si="5"/>
        <v>973.5000000000002</v>
      </c>
      <c r="G85" s="173" t="s">
        <v>148</v>
      </c>
      <c r="H85" s="197" t="s">
        <v>267</v>
      </c>
      <c r="I85" s="174">
        <v>5.1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</row>
    <row r="86" spans="1:104" s="81" customFormat="1" ht="12.75" customHeight="1">
      <c r="A86" s="163">
        <f t="shared" si="6"/>
        <v>941.4000000000002</v>
      </c>
      <c r="B86" s="173" t="s">
        <v>81</v>
      </c>
      <c r="C86" s="197" t="s">
        <v>232</v>
      </c>
      <c r="D86" s="224">
        <v>15.3</v>
      </c>
      <c r="E86"/>
      <c r="F86" s="163">
        <f t="shared" si="5"/>
        <v>978.6000000000003</v>
      </c>
      <c r="G86" s="173" t="s">
        <v>81</v>
      </c>
      <c r="H86" s="197" t="s">
        <v>268</v>
      </c>
      <c r="I86" s="174">
        <v>0.2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</row>
    <row r="87" spans="1:104" s="81" customFormat="1" ht="12.75" customHeight="1">
      <c r="A87" s="163">
        <f t="shared" si="6"/>
        <v>956.7000000000002</v>
      </c>
      <c r="B87" s="173" t="s">
        <v>81</v>
      </c>
      <c r="C87" s="197" t="s">
        <v>233</v>
      </c>
      <c r="D87" s="224">
        <v>0.5</v>
      </c>
      <c r="E87"/>
      <c r="F87" s="163">
        <f t="shared" si="5"/>
        <v>978.8000000000003</v>
      </c>
      <c r="G87" s="173" t="s">
        <v>82</v>
      </c>
      <c r="H87" s="197" t="s">
        <v>269</v>
      </c>
      <c r="I87" s="174">
        <v>1.8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</row>
    <row r="88" spans="1:104" s="81" customFormat="1" ht="12.75" customHeight="1">
      <c r="A88" s="163">
        <f t="shared" si="6"/>
        <v>957.2000000000002</v>
      </c>
      <c r="B88" s="173" t="s">
        <v>82</v>
      </c>
      <c r="C88" s="197" t="s">
        <v>234</v>
      </c>
      <c r="D88" s="174">
        <v>2.3</v>
      </c>
      <c r="E88"/>
      <c r="F88" s="163">
        <f t="shared" si="5"/>
        <v>980.6000000000003</v>
      </c>
      <c r="G88" s="173" t="s">
        <v>82</v>
      </c>
      <c r="H88" s="197" t="s">
        <v>270</v>
      </c>
      <c r="I88" s="174">
        <v>1.5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</row>
    <row r="89" spans="1:104" s="81" customFormat="1" ht="12.75" customHeight="1">
      <c r="A89" s="163">
        <f t="shared" si="6"/>
        <v>959.5000000000001</v>
      </c>
      <c r="B89" s="173" t="s">
        <v>82</v>
      </c>
      <c r="C89" s="197" t="s">
        <v>235</v>
      </c>
      <c r="D89" s="224">
        <v>0.3</v>
      </c>
      <c r="E89"/>
      <c r="F89" s="163">
        <f aca="true" t="shared" si="7" ref="F89:F94">F88+I88</f>
        <v>982.1000000000003</v>
      </c>
      <c r="G89" s="173" t="s">
        <v>123</v>
      </c>
      <c r="H89" s="197" t="s">
        <v>271</v>
      </c>
      <c r="I89" s="174">
        <v>5.3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</row>
    <row r="90" spans="1:104" s="81" customFormat="1" ht="12.75" customHeight="1">
      <c r="A90" s="163">
        <f t="shared" si="6"/>
        <v>959.8000000000001</v>
      </c>
      <c r="B90" s="173" t="s">
        <v>82</v>
      </c>
      <c r="C90" s="197" t="s">
        <v>236</v>
      </c>
      <c r="D90" s="174">
        <v>2.8</v>
      </c>
      <c r="E90"/>
      <c r="F90" s="163">
        <f t="shared" si="7"/>
        <v>987.4000000000002</v>
      </c>
      <c r="G90" s="175" t="s">
        <v>81</v>
      </c>
      <c r="H90" s="175" t="s">
        <v>272</v>
      </c>
      <c r="I90" s="176">
        <v>5.9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</row>
    <row r="91" spans="1:104" s="81" customFormat="1" ht="12.75" customHeight="1">
      <c r="A91" s="163">
        <f t="shared" si="6"/>
        <v>962.6</v>
      </c>
      <c r="B91" s="173" t="s">
        <v>81</v>
      </c>
      <c r="C91" s="197" t="s">
        <v>232</v>
      </c>
      <c r="D91" s="174">
        <v>1.1</v>
      </c>
      <c r="E91"/>
      <c r="F91" s="163">
        <f t="shared" si="7"/>
        <v>993.3000000000002</v>
      </c>
      <c r="G91" s="175" t="s">
        <v>81</v>
      </c>
      <c r="H91" s="175" t="s">
        <v>273</v>
      </c>
      <c r="I91" s="176">
        <v>9.6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</row>
    <row r="92" spans="1:104" s="81" customFormat="1" ht="12.75" customHeight="1">
      <c r="A92" s="163">
        <f t="shared" si="6"/>
        <v>963.7</v>
      </c>
      <c r="B92" s="173" t="s">
        <v>81</v>
      </c>
      <c r="C92" s="175" t="s">
        <v>240</v>
      </c>
      <c r="D92" s="174">
        <v>0.3</v>
      </c>
      <c r="E92"/>
      <c r="F92" s="163">
        <f t="shared" si="7"/>
        <v>1002.9000000000002</v>
      </c>
      <c r="G92" s="175" t="s">
        <v>82</v>
      </c>
      <c r="H92" s="175" t="s">
        <v>274</v>
      </c>
      <c r="I92" s="176">
        <v>0.1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</row>
    <row r="93" spans="1:104" s="81" customFormat="1" ht="12.75" customHeight="1">
      <c r="A93" s="203"/>
      <c r="B93" s="204"/>
      <c r="C93" s="204" t="s">
        <v>241</v>
      </c>
      <c r="D93" s="205"/>
      <c r="E93"/>
      <c r="F93" s="163">
        <f t="shared" si="7"/>
        <v>1003.0000000000002</v>
      </c>
      <c r="G93" s="175" t="s">
        <v>81</v>
      </c>
      <c r="H93" s="175" t="s">
        <v>275</v>
      </c>
      <c r="I93" s="176">
        <v>4.3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04" s="81" customFormat="1" ht="12.75" customHeight="1">
      <c r="A94" s="203"/>
      <c r="B94" s="204"/>
      <c r="C94" s="204"/>
      <c r="D94" s="205"/>
      <c r="E94"/>
      <c r="F94" s="217">
        <f t="shared" si="7"/>
        <v>1007.3000000000002</v>
      </c>
      <c r="G94" s="173"/>
      <c r="H94" s="198" t="s">
        <v>276</v>
      </c>
      <c r="I94" s="17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</row>
    <row r="95" spans="1:9" ht="12.75" customHeight="1" thickBot="1">
      <c r="A95" s="225"/>
      <c r="B95" s="226"/>
      <c r="C95" s="227"/>
      <c r="D95" s="228"/>
      <c r="F95" s="169"/>
      <c r="G95" s="178"/>
      <c r="H95" s="179" t="s">
        <v>106</v>
      </c>
      <c r="I95" s="180"/>
    </row>
    <row r="96" ht="4.5" customHeight="1"/>
  </sheetData>
  <sheetProtection/>
  <printOptions horizontalCentered="1" verticalCentered="1"/>
  <pageMargins left="0.33" right="0.32" top="0.17" bottom="0.5511811023622047" header="0.29" footer="0.2362204724409449"/>
  <pageSetup fitToHeight="2" orientation="portrait" scale="97"/>
  <headerFooter alignWithMargins="0">
    <oddHeader>&amp;L&amp;8Organizer: Lee Ringham
cel 250-713-4943&amp;C&amp;"Arial,Bold" Island 1000 km BREVET
Jume 18 - 21, 2011&amp;R&amp;8Page &amp;P of &amp;N</oddHeader>
    <oddFooter>&amp;LL = Left
SO = Straight On
R = Right&amp;CBC Randonneurs Cycling Club
&amp;8Emergency or DNF:
250-713-4943
&amp;RBL - Bear Left
BR - Bear Right
B/C - Becomes</oddFooter>
  </headerFooter>
  <rowBreaks count="1" manualBreakCount="1">
    <brk id="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47">
      <selection activeCell="E168" sqref="E168"/>
    </sheetView>
  </sheetViews>
  <sheetFormatPr defaultColWidth="8.8515625" defaultRowHeight="12.75"/>
  <cols>
    <col min="1" max="1" width="6.7109375" style="241" customWidth="1"/>
    <col min="2" max="2" width="5.7109375" style="147" customWidth="1"/>
    <col min="3" max="3" width="34.140625" style="0" customWidth="1"/>
    <col min="4" max="4" width="6.421875" style="0" customWidth="1"/>
    <col min="5" max="5" width="16.8515625" style="3" customWidth="1"/>
  </cols>
  <sheetData>
    <row r="1" spans="1:4" ht="37.5" thickBot="1">
      <c r="A1" s="230" t="s">
        <v>120</v>
      </c>
      <c r="B1" s="149" t="s">
        <v>80</v>
      </c>
      <c r="C1" s="150" t="s">
        <v>121</v>
      </c>
      <c r="D1" s="151" t="s">
        <v>122</v>
      </c>
    </row>
    <row r="2" spans="1:5" ht="12">
      <c r="A2" s="231"/>
      <c r="B2" s="181"/>
      <c r="C2" s="182" t="s">
        <v>134</v>
      </c>
      <c r="D2" s="183"/>
      <c r="E2" s="85" t="s">
        <v>86</v>
      </c>
    </row>
    <row r="3" spans="1:5" ht="12">
      <c r="A3" s="232"/>
      <c r="B3" s="184"/>
      <c r="C3" s="177" t="s">
        <v>124</v>
      </c>
      <c r="D3" s="185"/>
      <c r="E3" s="85" t="s">
        <v>87</v>
      </c>
    </row>
    <row r="4" spans="1:5" ht="12">
      <c r="A4" s="232"/>
      <c r="B4" s="152"/>
      <c r="C4" s="186"/>
      <c r="D4" s="185"/>
      <c r="E4" s="85" t="s">
        <v>88</v>
      </c>
    </row>
    <row r="5" spans="1:5" ht="12">
      <c r="A5" s="232">
        <v>0</v>
      </c>
      <c r="B5" s="152" t="s">
        <v>81</v>
      </c>
      <c r="C5" s="187" t="s">
        <v>125</v>
      </c>
      <c r="D5" s="185">
        <v>0</v>
      </c>
      <c r="E5" s="85" t="s">
        <v>89</v>
      </c>
    </row>
    <row r="6" spans="1:5" ht="12">
      <c r="A6" s="232">
        <v>0</v>
      </c>
      <c r="B6" s="152" t="s">
        <v>82</v>
      </c>
      <c r="C6" s="187" t="s">
        <v>173</v>
      </c>
      <c r="D6" s="185">
        <v>10.9</v>
      </c>
      <c r="E6" s="85" t="s">
        <v>90</v>
      </c>
    </row>
    <row r="7" spans="1:5" ht="12">
      <c r="A7" s="232">
        <v>10.9</v>
      </c>
      <c r="B7" s="152" t="s">
        <v>123</v>
      </c>
      <c r="C7" s="187" t="s">
        <v>174</v>
      </c>
      <c r="D7" s="185">
        <v>59.5</v>
      </c>
      <c r="E7" s="85" t="s">
        <v>91</v>
      </c>
    </row>
    <row r="8" spans="1:5" ht="12">
      <c r="A8" s="232">
        <v>70.4</v>
      </c>
      <c r="B8" s="152" t="s">
        <v>123</v>
      </c>
      <c r="C8" s="187" t="s">
        <v>158</v>
      </c>
      <c r="D8" s="185">
        <v>1.5</v>
      </c>
      <c r="E8" s="85" t="s">
        <v>92</v>
      </c>
    </row>
    <row r="9" spans="1:5" ht="12">
      <c r="A9" s="232">
        <v>71.9</v>
      </c>
      <c r="B9" s="152" t="s">
        <v>81</v>
      </c>
      <c r="C9" s="187" t="s">
        <v>175</v>
      </c>
      <c r="D9" s="185">
        <v>0.3</v>
      </c>
      <c r="E9" s="85" t="s">
        <v>93</v>
      </c>
    </row>
    <row r="10" spans="1:5" ht="12">
      <c r="A10" s="232">
        <v>72.2</v>
      </c>
      <c r="B10" s="152" t="s">
        <v>82</v>
      </c>
      <c r="C10" s="187" t="s">
        <v>159</v>
      </c>
      <c r="D10" s="185">
        <v>1.6</v>
      </c>
      <c r="E10" s="85" t="s">
        <v>94</v>
      </c>
    </row>
    <row r="11" spans="1:5" ht="12">
      <c r="A11" s="232">
        <v>73.8</v>
      </c>
      <c r="B11" s="152" t="s">
        <v>81</v>
      </c>
      <c r="C11" s="187" t="s">
        <v>160</v>
      </c>
      <c r="D11" s="185">
        <v>34.4</v>
      </c>
      <c r="E11"/>
    </row>
    <row r="12" spans="1:5" ht="12">
      <c r="A12" s="232">
        <v>108.19999999999999</v>
      </c>
      <c r="B12" s="152" t="s">
        <v>123</v>
      </c>
      <c r="C12" s="187" t="s">
        <v>161</v>
      </c>
      <c r="D12" s="185">
        <v>3.4</v>
      </c>
      <c r="E12" s="85" t="s">
        <v>95</v>
      </c>
    </row>
    <row r="13" spans="1:5" ht="12">
      <c r="A13" s="232"/>
      <c r="B13" s="152"/>
      <c r="C13" s="187"/>
      <c r="D13" s="185"/>
      <c r="E13" s="85" t="s">
        <v>96</v>
      </c>
    </row>
    <row r="14" spans="1:5" ht="12">
      <c r="A14" s="233">
        <v>111.6</v>
      </c>
      <c r="B14" s="189" t="s">
        <v>82</v>
      </c>
      <c r="C14" s="190" t="s">
        <v>83</v>
      </c>
      <c r="D14" s="191"/>
      <c r="E14" s="85" t="s">
        <v>97</v>
      </c>
    </row>
    <row r="15" spans="1:5" ht="12">
      <c r="A15" s="233"/>
      <c r="B15" s="189"/>
      <c r="C15" s="190" t="s">
        <v>127</v>
      </c>
      <c r="D15" s="191"/>
      <c r="E15" s="85" t="s">
        <v>98</v>
      </c>
    </row>
    <row r="16" spans="1:5" ht="12">
      <c r="A16" s="232"/>
      <c r="B16" s="152"/>
      <c r="C16" s="187"/>
      <c r="D16" s="185"/>
      <c r="E16" s="85" t="s">
        <v>99</v>
      </c>
    </row>
    <row r="17" spans="1:5" ht="12">
      <c r="A17" s="232"/>
      <c r="B17" s="152" t="s">
        <v>82</v>
      </c>
      <c r="C17" s="187" t="s">
        <v>162</v>
      </c>
      <c r="D17" s="185">
        <v>5.8</v>
      </c>
      <c r="E17" s="85" t="s">
        <v>100</v>
      </c>
    </row>
    <row r="18" spans="1:5" ht="12">
      <c r="A18" s="232">
        <v>117.39999999999999</v>
      </c>
      <c r="B18" s="152" t="s">
        <v>81</v>
      </c>
      <c r="C18" s="187" t="s">
        <v>163</v>
      </c>
      <c r="D18" s="185">
        <v>2.5</v>
      </c>
      <c r="E18" s="85" t="s">
        <v>101</v>
      </c>
    </row>
    <row r="19" spans="1:5" ht="12">
      <c r="A19" s="232">
        <v>119.89999999999999</v>
      </c>
      <c r="B19" s="152" t="s">
        <v>81</v>
      </c>
      <c r="C19" s="187" t="s">
        <v>164</v>
      </c>
      <c r="D19" s="185">
        <v>0.7</v>
      </c>
      <c r="E19" s="85" t="s">
        <v>102</v>
      </c>
    </row>
    <row r="20" spans="1:5" ht="12">
      <c r="A20" s="232">
        <v>120.6</v>
      </c>
      <c r="B20" s="152" t="s">
        <v>123</v>
      </c>
      <c r="C20" s="187" t="s">
        <v>165</v>
      </c>
      <c r="D20" s="185">
        <v>64.2</v>
      </c>
      <c r="E20" s="85" t="s">
        <v>103</v>
      </c>
    </row>
    <row r="21" spans="1:5" ht="12">
      <c r="A21" s="232"/>
      <c r="B21" s="152"/>
      <c r="C21" s="192"/>
      <c r="D21" s="185"/>
      <c r="E21" s="85"/>
    </row>
    <row r="22" spans="1:5" ht="12">
      <c r="A22" s="233">
        <v>184.8</v>
      </c>
      <c r="B22" s="189" t="s">
        <v>81</v>
      </c>
      <c r="C22" s="189" t="s">
        <v>280</v>
      </c>
      <c r="D22" s="191"/>
      <c r="E22" s="85" t="s">
        <v>104</v>
      </c>
    </row>
    <row r="23" spans="1:5" ht="12.75" thickBot="1">
      <c r="A23" s="234"/>
      <c r="B23" s="194"/>
      <c r="C23" s="194" t="s">
        <v>281</v>
      </c>
      <c r="D23" s="195"/>
      <c r="E23" s="85" t="s">
        <v>105</v>
      </c>
    </row>
    <row r="24" spans="1:4" ht="37.5" thickBot="1">
      <c r="A24" s="230" t="s">
        <v>120</v>
      </c>
      <c r="B24" s="149" t="s">
        <v>80</v>
      </c>
      <c r="C24" s="150" t="s">
        <v>121</v>
      </c>
      <c r="D24" s="151" t="s">
        <v>122</v>
      </c>
    </row>
    <row r="25" spans="1:5" ht="12">
      <c r="A25" s="231">
        <v>184.8</v>
      </c>
      <c r="B25" s="181" t="s">
        <v>81</v>
      </c>
      <c r="C25" s="196" t="s">
        <v>166</v>
      </c>
      <c r="D25" s="183">
        <v>65.5</v>
      </c>
      <c r="E25" s="85"/>
    </row>
    <row r="26" spans="1:5" ht="12">
      <c r="A26" s="232">
        <v>250.3</v>
      </c>
      <c r="B26" s="152" t="s">
        <v>82</v>
      </c>
      <c r="C26" s="197" t="s">
        <v>137</v>
      </c>
      <c r="D26" s="185">
        <v>0.4</v>
      </c>
      <c r="E26" s="85"/>
    </row>
    <row r="27" spans="1:5" ht="12">
      <c r="A27" s="232"/>
      <c r="B27" s="152"/>
      <c r="C27" s="197"/>
      <c r="D27" s="185"/>
      <c r="E27" s="85"/>
    </row>
    <row r="28" spans="1:5" ht="12">
      <c r="A28" s="233">
        <v>250.70000000000002</v>
      </c>
      <c r="B28" s="189" t="s">
        <v>82</v>
      </c>
      <c r="C28" s="198" t="s">
        <v>167</v>
      </c>
      <c r="D28" s="185"/>
      <c r="E28" s="85" t="s">
        <v>105</v>
      </c>
    </row>
    <row r="29" spans="1:5" ht="12">
      <c r="A29" s="233"/>
      <c r="B29" s="189"/>
      <c r="C29" s="198" t="s">
        <v>129</v>
      </c>
      <c r="D29" s="185"/>
      <c r="E29"/>
    </row>
    <row r="30" spans="1:5" ht="12">
      <c r="A30" s="232"/>
      <c r="B30" s="242"/>
      <c r="C30" s="197"/>
      <c r="D30" s="185"/>
      <c r="E30" s="85"/>
    </row>
    <row r="31" spans="1:5" ht="12">
      <c r="A31" s="232"/>
      <c r="B31" s="152" t="s">
        <v>138</v>
      </c>
      <c r="C31" s="197" t="s">
        <v>168</v>
      </c>
      <c r="D31" s="185">
        <v>0.4</v>
      </c>
      <c r="E31" s="85"/>
    </row>
    <row r="32" spans="1:5" ht="12">
      <c r="A32" s="232">
        <v>251.10000000000002</v>
      </c>
      <c r="B32" s="200" t="s">
        <v>82</v>
      </c>
      <c r="C32" s="197" t="s">
        <v>169</v>
      </c>
      <c r="D32" s="185">
        <v>64.1</v>
      </c>
      <c r="E32" s="85"/>
    </row>
    <row r="33" spans="1:5" ht="12">
      <c r="A33" s="232">
        <v>315.20000000000005</v>
      </c>
      <c r="B33" s="152" t="s">
        <v>123</v>
      </c>
      <c r="C33" s="197" t="s">
        <v>176</v>
      </c>
      <c r="D33" s="185">
        <v>36.1</v>
      </c>
      <c r="E33" s="85"/>
    </row>
    <row r="34" spans="1:5" ht="12">
      <c r="A34" s="232">
        <v>351.30000000000007</v>
      </c>
      <c r="B34" s="200" t="s">
        <v>123</v>
      </c>
      <c r="C34" s="197" t="s">
        <v>177</v>
      </c>
      <c r="D34" s="185">
        <v>4.2</v>
      </c>
      <c r="E34" s="85"/>
    </row>
    <row r="35" spans="1:5" ht="12">
      <c r="A35" s="232">
        <v>355.50000000000006</v>
      </c>
      <c r="B35" s="200" t="s">
        <v>81</v>
      </c>
      <c r="C35" s="197" t="s">
        <v>170</v>
      </c>
      <c r="D35" s="185">
        <v>0.35</v>
      </c>
      <c r="E35" s="85"/>
    </row>
    <row r="36" spans="1:5" ht="12">
      <c r="A36" s="232"/>
      <c r="B36" s="152"/>
      <c r="C36" s="197"/>
      <c r="D36" s="185"/>
      <c r="E36" s="85" t="s">
        <v>105</v>
      </c>
    </row>
    <row r="37" spans="1:5" ht="12">
      <c r="A37" s="233">
        <v>355.8500000000001</v>
      </c>
      <c r="B37" s="189" t="s">
        <v>81</v>
      </c>
      <c r="C37" s="198" t="s">
        <v>171</v>
      </c>
      <c r="D37" s="191"/>
      <c r="E37"/>
    </row>
    <row r="38" spans="1:5" ht="12">
      <c r="A38" s="233"/>
      <c r="B38" s="189"/>
      <c r="C38" s="198" t="s">
        <v>130</v>
      </c>
      <c r="D38" s="191"/>
      <c r="E38" s="85"/>
    </row>
    <row r="39" spans="1:5" ht="12">
      <c r="A39" s="232"/>
      <c r="B39" s="152"/>
      <c r="C39" s="197"/>
      <c r="D39" s="185"/>
      <c r="E39" s="85"/>
    </row>
    <row r="40" spans="1:5" ht="12">
      <c r="A40" s="232">
        <v>355.8500000000001</v>
      </c>
      <c r="B40" s="152" t="s">
        <v>82</v>
      </c>
      <c r="C40" s="197" t="s">
        <v>84</v>
      </c>
      <c r="D40" s="185">
        <v>0.35</v>
      </c>
      <c r="E40" s="85"/>
    </row>
    <row r="41" spans="1:5" ht="12">
      <c r="A41" s="232">
        <v>356.2000000000001</v>
      </c>
      <c r="B41" s="152" t="s">
        <v>82</v>
      </c>
      <c r="C41" s="197" t="s">
        <v>172</v>
      </c>
      <c r="D41" s="185">
        <v>4.2</v>
      </c>
      <c r="E41"/>
    </row>
    <row r="42" spans="1:5" ht="12">
      <c r="A42" s="232">
        <v>360.4000000000001</v>
      </c>
      <c r="B42" s="152" t="s">
        <v>123</v>
      </c>
      <c r="C42" s="197" t="s">
        <v>85</v>
      </c>
      <c r="D42" s="185">
        <v>36.1</v>
      </c>
      <c r="E42" s="85"/>
    </row>
    <row r="43" spans="1:5" ht="12">
      <c r="A43" s="232">
        <v>396.5000000000001</v>
      </c>
      <c r="B43" s="152" t="s">
        <v>123</v>
      </c>
      <c r="C43" s="197" t="s">
        <v>178</v>
      </c>
      <c r="D43" s="185">
        <v>64.1</v>
      </c>
      <c r="E43"/>
    </row>
    <row r="44" spans="1:5" ht="12">
      <c r="A44" s="232">
        <v>460.60000000000014</v>
      </c>
      <c r="B44" s="152" t="s">
        <v>81</v>
      </c>
      <c r="C44" s="197" t="s">
        <v>137</v>
      </c>
      <c r="D44" s="185">
        <v>0.4</v>
      </c>
      <c r="E44" s="85"/>
    </row>
    <row r="45" spans="1:5" ht="12">
      <c r="A45" s="233">
        <v>461.0000000000001</v>
      </c>
      <c r="B45" s="189" t="s">
        <v>82</v>
      </c>
      <c r="C45" s="198" t="s">
        <v>282</v>
      </c>
      <c r="D45" s="191"/>
      <c r="E45" s="85" t="s">
        <v>105</v>
      </c>
    </row>
    <row r="46" spans="1:5" ht="12.75" thickBot="1">
      <c r="A46" s="234"/>
      <c r="B46" s="194"/>
      <c r="C46" s="201" t="s">
        <v>129</v>
      </c>
      <c r="D46" s="195"/>
      <c r="E46" s="85"/>
    </row>
    <row r="47" spans="1:4" ht="37.5" thickBot="1">
      <c r="A47" s="230" t="s">
        <v>120</v>
      </c>
      <c r="B47" s="149" t="s">
        <v>80</v>
      </c>
      <c r="C47" s="150" t="s">
        <v>121</v>
      </c>
      <c r="D47" s="151" t="s">
        <v>122</v>
      </c>
    </row>
    <row r="48" spans="1:5" ht="12">
      <c r="A48" s="231">
        <v>461</v>
      </c>
      <c r="B48" s="181" t="s">
        <v>138</v>
      </c>
      <c r="C48" s="196" t="s">
        <v>168</v>
      </c>
      <c r="D48" s="183">
        <v>0.4</v>
      </c>
      <c r="E48" s="85"/>
    </row>
    <row r="49" spans="1:5" ht="12">
      <c r="A49" s="232">
        <v>461.4</v>
      </c>
      <c r="B49" s="152" t="s">
        <v>81</v>
      </c>
      <c r="C49" s="197" t="s">
        <v>179</v>
      </c>
      <c r="D49" s="185">
        <v>65.5</v>
      </c>
      <c r="E49" s="94"/>
    </row>
    <row r="50" spans="1:5" ht="12">
      <c r="A50" s="232"/>
      <c r="B50" s="152"/>
      <c r="C50" s="197"/>
      <c r="D50" s="185"/>
      <c r="E50" s="85"/>
    </row>
    <row r="51" spans="1:5" ht="12">
      <c r="A51" s="233">
        <v>526.9</v>
      </c>
      <c r="B51" s="189" t="s">
        <v>82</v>
      </c>
      <c r="C51" s="198" t="s">
        <v>180</v>
      </c>
      <c r="D51" s="191"/>
      <c r="E51"/>
    </row>
    <row r="52" spans="1:5" ht="12">
      <c r="A52" s="233"/>
      <c r="B52" s="189"/>
      <c r="C52" s="198" t="s">
        <v>128</v>
      </c>
      <c r="D52" s="191"/>
      <c r="E52" s="85"/>
    </row>
    <row r="53" spans="1:5" ht="12">
      <c r="A53" s="232"/>
      <c r="B53" s="152"/>
      <c r="C53" s="197"/>
      <c r="D53" s="185"/>
      <c r="E53"/>
    </row>
    <row r="54" spans="1:5" ht="12">
      <c r="A54" s="232">
        <v>526.9</v>
      </c>
      <c r="B54" s="152" t="s">
        <v>82</v>
      </c>
      <c r="C54" s="197" t="s">
        <v>85</v>
      </c>
      <c r="D54" s="185">
        <v>64.7</v>
      </c>
      <c r="E54" s="85" t="s">
        <v>105</v>
      </c>
    </row>
    <row r="55" spans="1:5" ht="12">
      <c r="A55" s="232">
        <v>591.6</v>
      </c>
      <c r="B55" s="152" t="s">
        <v>82</v>
      </c>
      <c r="C55" s="197" t="s">
        <v>181</v>
      </c>
      <c r="D55" s="202">
        <v>2.6</v>
      </c>
      <c r="E55" s="85"/>
    </row>
    <row r="56" spans="1:5" ht="12">
      <c r="A56" s="232">
        <v>594.2</v>
      </c>
      <c r="B56" s="152" t="s">
        <v>82</v>
      </c>
      <c r="C56" s="197" t="s">
        <v>182</v>
      </c>
      <c r="D56" s="185">
        <v>5.8</v>
      </c>
      <c r="E56" s="85"/>
    </row>
    <row r="57" spans="1:5" ht="12">
      <c r="A57" s="235"/>
      <c r="B57" s="243"/>
      <c r="C57" s="197"/>
      <c r="D57" s="205"/>
      <c r="E57" s="85"/>
    </row>
    <row r="58" spans="1:5" ht="12">
      <c r="A58" s="233">
        <v>600</v>
      </c>
      <c r="B58" s="189" t="s">
        <v>81</v>
      </c>
      <c r="C58" s="198" t="s">
        <v>135</v>
      </c>
      <c r="D58" s="191"/>
      <c r="E58" s="85"/>
    </row>
    <row r="59" spans="1:5" ht="12">
      <c r="A59" s="233"/>
      <c r="B59" s="189"/>
      <c r="C59" s="198" t="s">
        <v>127</v>
      </c>
      <c r="D59" s="191"/>
      <c r="E59"/>
    </row>
    <row r="60" spans="1:5" ht="12">
      <c r="A60" s="232"/>
      <c r="B60" s="152"/>
      <c r="C60" s="197"/>
      <c r="D60" s="185"/>
      <c r="E60" s="85"/>
    </row>
    <row r="61" spans="1:5" ht="12">
      <c r="A61" s="232"/>
      <c r="B61" s="152" t="s">
        <v>81</v>
      </c>
      <c r="C61" s="197" t="s">
        <v>183</v>
      </c>
      <c r="D61" s="185">
        <v>3.4</v>
      </c>
      <c r="E61" s="85" t="s">
        <v>105</v>
      </c>
    </row>
    <row r="62" spans="1:5" ht="12">
      <c r="A62" s="232">
        <v>603.4</v>
      </c>
      <c r="B62" s="152" t="s">
        <v>123</v>
      </c>
      <c r="C62" s="197" t="s">
        <v>185</v>
      </c>
      <c r="D62" s="185">
        <v>34.4</v>
      </c>
      <c r="E62" s="85"/>
    </row>
    <row r="63" spans="1:5" ht="12">
      <c r="A63" s="232">
        <v>637.8</v>
      </c>
      <c r="B63" s="152" t="s">
        <v>82</v>
      </c>
      <c r="C63" s="197" t="s">
        <v>159</v>
      </c>
      <c r="D63" s="185">
        <v>1.6</v>
      </c>
      <c r="E63"/>
    </row>
    <row r="64" spans="1:5" ht="12">
      <c r="A64" s="232">
        <v>639.4</v>
      </c>
      <c r="B64" s="152" t="s">
        <v>81</v>
      </c>
      <c r="C64" s="197" t="s">
        <v>186</v>
      </c>
      <c r="D64" s="185">
        <v>0.3</v>
      </c>
      <c r="E64" s="85"/>
    </row>
    <row r="65" spans="1:5" ht="12">
      <c r="A65" s="232">
        <v>639.6999999999999</v>
      </c>
      <c r="B65" s="152" t="s">
        <v>82</v>
      </c>
      <c r="C65" s="197" t="s">
        <v>187</v>
      </c>
      <c r="D65" s="185">
        <v>1.5</v>
      </c>
      <c r="E65" s="85"/>
    </row>
    <row r="66" spans="1:5" ht="12">
      <c r="A66" s="232">
        <v>641.1999999999999</v>
      </c>
      <c r="B66" s="152" t="s">
        <v>123</v>
      </c>
      <c r="C66" s="197" t="s">
        <v>158</v>
      </c>
      <c r="D66" s="185">
        <v>59.5</v>
      </c>
      <c r="E66" s="85"/>
    </row>
    <row r="67" spans="1:5" ht="12">
      <c r="A67" s="235"/>
      <c r="B67" s="243"/>
      <c r="C67" s="197"/>
      <c r="D67" s="205"/>
      <c r="E67"/>
    </row>
    <row r="68" spans="1:5" ht="12">
      <c r="A68" s="233">
        <v>700.6999999999999</v>
      </c>
      <c r="B68" s="189" t="s">
        <v>81</v>
      </c>
      <c r="C68" s="198" t="s">
        <v>184</v>
      </c>
      <c r="D68" s="191"/>
      <c r="E68" s="85"/>
    </row>
    <row r="69" spans="1:5" ht="12.75" thickBot="1">
      <c r="A69" s="234"/>
      <c r="B69" s="194"/>
      <c r="C69" s="201" t="s">
        <v>131</v>
      </c>
      <c r="D69" s="195"/>
      <c r="E69" s="85"/>
    </row>
    <row r="70" spans="1:4" ht="37.5" thickBot="1">
      <c r="A70" s="230" t="s">
        <v>120</v>
      </c>
      <c r="B70" s="149" t="s">
        <v>80</v>
      </c>
      <c r="C70" s="150" t="s">
        <v>121</v>
      </c>
      <c r="D70" s="151" t="s">
        <v>122</v>
      </c>
    </row>
    <row r="71" spans="1:5" ht="12">
      <c r="A71" s="231">
        <v>700.6999999999999</v>
      </c>
      <c r="B71" s="181" t="s">
        <v>81</v>
      </c>
      <c r="C71" s="196" t="s">
        <v>188</v>
      </c>
      <c r="D71" s="183">
        <v>10.9</v>
      </c>
      <c r="E71" s="85"/>
    </row>
    <row r="72" spans="1:5" ht="12">
      <c r="A72" s="232">
        <v>711.5999999999999</v>
      </c>
      <c r="B72" s="152" t="s">
        <v>123</v>
      </c>
      <c r="C72" s="197" t="s">
        <v>189</v>
      </c>
      <c r="D72" s="185">
        <v>5.5</v>
      </c>
      <c r="E72" s="94"/>
    </row>
    <row r="73" spans="1:5" ht="12">
      <c r="A73" s="232">
        <v>717.0999999999999</v>
      </c>
      <c r="B73" s="152" t="s">
        <v>81</v>
      </c>
      <c r="C73" s="197" t="s">
        <v>190</v>
      </c>
      <c r="D73" s="185">
        <v>13.6</v>
      </c>
      <c r="E73" s="85"/>
    </row>
    <row r="74" spans="1:5" ht="12">
      <c r="A74" s="232">
        <v>730.6999999999999</v>
      </c>
      <c r="B74" s="152" t="s">
        <v>81</v>
      </c>
      <c r="C74" s="197" t="s">
        <v>191</v>
      </c>
      <c r="D74" s="185">
        <v>0.2</v>
      </c>
      <c r="E74" s="85"/>
    </row>
    <row r="75" spans="1:5" ht="12">
      <c r="A75" s="232">
        <v>730.9</v>
      </c>
      <c r="B75" s="152" t="s">
        <v>82</v>
      </c>
      <c r="C75" s="197" t="s">
        <v>192</v>
      </c>
      <c r="D75" s="202">
        <v>0.1</v>
      </c>
      <c r="E75" s="85" t="s">
        <v>105</v>
      </c>
    </row>
    <row r="76" spans="1:5" ht="12">
      <c r="A76" s="232">
        <v>731</v>
      </c>
      <c r="B76" s="152" t="s">
        <v>139</v>
      </c>
      <c r="C76" s="197" t="s">
        <v>193</v>
      </c>
      <c r="D76" s="185">
        <v>0.7</v>
      </c>
      <c r="E76" s="85"/>
    </row>
    <row r="77" spans="1:5" ht="12">
      <c r="A77" s="232">
        <v>731.7</v>
      </c>
      <c r="B77" s="152" t="s">
        <v>123</v>
      </c>
      <c r="C77" s="197" t="s">
        <v>194</v>
      </c>
      <c r="D77" s="185">
        <v>0.6</v>
      </c>
      <c r="E77"/>
    </row>
    <row r="78" spans="1:5" ht="12">
      <c r="A78" s="236">
        <v>732.3000000000001</v>
      </c>
      <c r="B78" s="173" t="s">
        <v>82</v>
      </c>
      <c r="C78" s="197" t="s">
        <v>195</v>
      </c>
      <c r="D78" s="207">
        <v>0.4</v>
      </c>
      <c r="E78" s="85"/>
    </row>
    <row r="79" spans="1:5" ht="12">
      <c r="A79" s="236">
        <v>732.7</v>
      </c>
      <c r="B79" s="173" t="s">
        <v>81</v>
      </c>
      <c r="C79" s="197" t="s">
        <v>196</v>
      </c>
      <c r="D79" s="207">
        <v>0.3</v>
      </c>
      <c r="E79" s="85"/>
    </row>
    <row r="80" spans="1:5" ht="12">
      <c r="A80" s="236">
        <v>733</v>
      </c>
      <c r="B80" s="173" t="s">
        <v>82</v>
      </c>
      <c r="C80" s="197" t="s">
        <v>197</v>
      </c>
      <c r="D80" s="185">
        <v>2.7</v>
      </c>
      <c r="E80" s="85"/>
    </row>
    <row r="81" spans="1:5" ht="12">
      <c r="A81" s="236">
        <v>735.7</v>
      </c>
      <c r="B81" s="173" t="s">
        <v>123</v>
      </c>
      <c r="C81" s="197" t="s">
        <v>198</v>
      </c>
      <c r="D81" s="185">
        <v>0.2</v>
      </c>
      <c r="E81" s="85"/>
    </row>
    <row r="82" spans="1:5" ht="12">
      <c r="A82" s="236">
        <v>735.9000000000001</v>
      </c>
      <c r="B82" s="173" t="s">
        <v>81</v>
      </c>
      <c r="C82" s="197" t="s">
        <v>199</v>
      </c>
      <c r="D82" s="185">
        <v>2.8</v>
      </c>
      <c r="E82" s="85"/>
    </row>
    <row r="83" spans="1:5" ht="12">
      <c r="A83" s="232">
        <v>738.7</v>
      </c>
      <c r="B83" s="173" t="s">
        <v>81</v>
      </c>
      <c r="C83" s="197" t="s">
        <v>200</v>
      </c>
      <c r="D83" s="185">
        <v>1.1</v>
      </c>
      <c r="E83" s="85"/>
    </row>
    <row r="84" spans="1:5" ht="12">
      <c r="A84" s="232">
        <v>739.8000000000001</v>
      </c>
      <c r="B84" s="173" t="s">
        <v>123</v>
      </c>
      <c r="C84" s="197" t="s">
        <v>198</v>
      </c>
      <c r="D84" s="185">
        <v>0</v>
      </c>
      <c r="E84"/>
    </row>
    <row r="85" spans="1:5" ht="12">
      <c r="A85" s="232">
        <v>739.8000000000001</v>
      </c>
      <c r="B85" s="152" t="s">
        <v>123</v>
      </c>
      <c r="C85" s="197" t="s">
        <v>201</v>
      </c>
      <c r="D85" s="185">
        <v>8.1</v>
      </c>
      <c r="E85" s="85" t="s">
        <v>105</v>
      </c>
    </row>
    <row r="86" spans="1:5" ht="12">
      <c r="A86" s="232">
        <v>747.9000000000001</v>
      </c>
      <c r="B86" s="173" t="s">
        <v>123</v>
      </c>
      <c r="C86" s="197" t="s">
        <v>198</v>
      </c>
      <c r="D86" s="185">
        <v>0</v>
      </c>
      <c r="E86"/>
    </row>
    <row r="87" spans="1:5" ht="12">
      <c r="A87" s="232">
        <v>747.9000000000001</v>
      </c>
      <c r="B87" s="152" t="s">
        <v>123</v>
      </c>
      <c r="C87" s="197" t="s">
        <v>201</v>
      </c>
      <c r="D87" s="185">
        <v>0.7</v>
      </c>
      <c r="E87" s="85"/>
    </row>
    <row r="88" spans="1:5" ht="12">
      <c r="A88" s="232">
        <v>748.6000000000001</v>
      </c>
      <c r="B88" s="244" t="s">
        <v>123</v>
      </c>
      <c r="C88" s="197" t="s">
        <v>202</v>
      </c>
      <c r="D88" s="185">
        <v>1</v>
      </c>
      <c r="E88" s="85"/>
    </row>
    <row r="89" spans="1:5" ht="12">
      <c r="A89" s="232">
        <v>749.6000000000001</v>
      </c>
      <c r="B89" s="173" t="s">
        <v>81</v>
      </c>
      <c r="C89" s="197" t="s">
        <v>203</v>
      </c>
      <c r="D89" s="185">
        <v>0.8</v>
      </c>
      <c r="E89"/>
    </row>
    <row r="90" spans="1:5" ht="12">
      <c r="A90" s="232">
        <v>750.4000000000001</v>
      </c>
      <c r="B90" s="173" t="s">
        <v>82</v>
      </c>
      <c r="C90" s="197" t="s">
        <v>204</v>
      </c>
      <c r="D90" s="185">
        <v>1.3</v>
      </c>
      <c r="E90" s="85"/>
    </row>
    <row r="91" spans="1:5" ht="12">
      <c r="A91" s="232">
        <v>751.7</v>
      </c>
      <c r="B91" s="173" t="s">
        <v>81</v>
      </c>
      <c r="C91" s="197" t="s">
        <v>205</v>
      </c>
      <c r="D91" s="185">
        <v>0.8</v>
      </c>
      <c r="E91"/>
    </row>
    <row r="92" spans="1:5" ht="12.75" thickBot="1">
      <c r="A92" s="237">
        <v>752.5</v>
      </c>
      <c r="B92" s="209" t="s">
        <v>82</v>
      </c>
      <c r="C92" s="210" t="s">
        <v>206</v>
      </c>
      <c r="D92" s="211">
        <v>0.4</v>
      </c>
      <c r="E92" s="85"/>
    </row>
    <row r="93" spans="1:4" ht="37.5" thickBot="1">
      <c r="A93" s="230" t="s">
        <v>120</v>
      </c>
      <c r="B93" s="149" t="s">
        <v>80</v>
      </c>
      <c r="C93" s="150" t="s">
        <v>121</v>
      </c>
      <c r="D93" s="151" t="s">
        <v>122</v>
      </c>
    </row>
    <row r="94" spans="1:5" ht="12">
      <c r="A94" s="231">
        <v>752.9000000000001</v>
      </c>
      <c r="B94" s="212" t="s">
        <v>81</v>
      </c>
      <c r="C94" s="213" t="s">
        <v>207</v>
      </c>
      <c r="D94" s="183">
        <v>1.7</v>
      </c>
      <c r="E94" s="85" t="s">
        <v>105</v>
      </c>
    </row>
    <row r="95" spans="1:4" ht="12">
      <c r="A95" s="232">
        <v>754.6000000000001</v>
      </c>
      <c r="B95" s="214" t="s">
        <v>140</v>
      </c>
      <c r="C95" s="187" t="s">
        <v>223</v>
      </c>
      <c r="D95" s="185">
        <v>0.9</v>
      </c>
    </row>
    <row r="96" spans="1:4" ht="12">
      <c r="A96" s="232">
        <v>755.5000000000001</v>
      </c>
      <c r="B96" s="214" t="s">
        <v>81</v>
      </c>
      <c r="C96" s="187" t="s">
        <v>208</v>
      </c>
      <c r="D96" s="185">
        <v>0.5</v>
      </c>
    </row>
    <row r="97" spans="1:4" ht="12">
      <c r="A97" s="232">
        <v>756.0000000000001</v>
      </c>
      <c r="B97" s="173" t="s">
        <v>123</v>
      </c>
      <c r="C97" s="187" t="s">
        <v>209</v>
      </c>
      <c r="D97" s="185">
        <v>3.1</v>
      </c>
    </row>
    <row r="98" spans="1:4" ht="12">
      <c r="A98" s="232">
        <v>759.1000000000001</v>
      </c>
      <c r="B98" s="215" t="s">
        <v>139</v>
      </c>
      <c r="C98" s="187" t="s">
        <v>210</v>
      </c>
      <c r="D98" s="216">
        <v>2.8</v>
      </c>
    </row>
    <row r="99" spans="1:4" ht="12">
      <c r="A99" s="232">
        <v>761.9000000000001</v>
      </c>
      <c r="B99" s="173" t="s">
        <v>82</v>
      </c>
      <c r="C99" s="187" t="s">
        <v>211</v>
      </c>
      <c r="D99" s="185">
        <v>3.9</v>
      </c>
    </row>
    <row r="100" spans="1:4" ht="12">
      <c r="A100" s="232">
        <v>765.8000000000001</v>
      </c>
      <c r="B100" s="173" t="s">
        <v>81</v>
      </c>
      <c r="C100" s="187" t="s">
        <v>212</v>
      </c>
      <c r="D100" s="185">
        <v>0.4</v>
      </c>
    </row>
    <row r="101" spans="1:4" ht="12">
      <c r="A101" s="232">
        <v>766.2</v>
      </c>
      <c r="B101" s="152" t="s">
        <v>123</v>
      </c>
      <c r="C101" s="187" t="s">
        <v>213</v>
      </c>
      <c r="D101" s="185">
        <v>35.3</v>
      </c>
    </row>
    <row r="102" spans="1:4" ht="12">
      <c r="A102" s="232"/>
      <c r="B102" s="152"/>
      <c r="C102" s="187"/>
      <c r="D102" s="185"/>
    </row>
    <row r="103" spans="1:4" ht="12">
      <c r="A103" s="233">
        <v>801.5</v>
      </c>
      <c r="B103" s="152"/>
      <c r="C103" s="190" t="s">
        <v>143</v>
      </c>
      <c r="D103" s="185"/>
    </row>
    <row r="104" spans="1:5" ht="12">
      <c r="A104" s="232"/>
      <c r="B104" s="152"/>
      <c r="C104" s="190" t="s">
        <v>141</v>
      </c>
      <c r="D104" s="185"/>
      <c r="E104" s="85"/>
    </row>
    <row r="105" spans="1:4" ht="12">
      <c r="A105" s="232"/>
      <c r="B105" s="152"/>
      <c r="C105" s="187"/>
      <c r="D105" s="185"/>
    </row>
    <row r="106" spans="1:4" ht="12">
      <c r="A106" s="232">
        <v>801.5</v>
      </c>
      <c r="B106" s="152" t="s">
        <v>81</v>
      </c>
      <c r="C106" s="187" t="s">
        <v>214</v>
      </c>
      <c r="D106" s="185">
        <v>1.4</v>
      </c>
    </row>
    <row r="107" spans="1:4" ht="12">
      <c r="A107" s="232">
        <v>802.9</v>
      </c>
      <c r="B107" s="173" t="s">
        <v>82</v>
      </c>
      <c r="C107" s="187" t="s">
        <v>215</v>
      </c>
      <c r="D107" s="185">
        <v>1.2</v>
      </c>
    </row>
    <row r="108" spans="1:4" ht="12">
      <c r="A108" s="238">
        <v>804.1</v>
      </c>
      <c r="B108" s="173" t="s">
        <v>81</v>
      </c>
      <c r="C108" s="187" t="s">
        <v>225</v>
      </c>
      <c r="D108" s="185">
        <v>1.8</v>
      </c>
    </row>
    <row r="109" spans="1:4" ht="12">
      <c r="A109" s="232">
        <v>805.9</v>
      </c>
      <c r="B109" s="173" t="s">
        <v>82</v>
      </c>
      <c r="C109" s="187" t="s">
        <v>216</v>
      </c>
      <c r="D109" s="185">
        <v>16.2</v>
      </c>
    </row>
    <row r="110" spans="1:4" ht="12">
      <c r="A110" s="232">
        <v>822.1</v>
      </c>
      <c r="B110" s="173" t="s">
        <v>123</v>
      </c>
      <c r="C110" s="187" t="s">
        <v>217</v>
      </c>
      <c r="D110" s="185">
        <v>0</v>
      </c>
    </row>
    <row r="111" spans="1:4" ht="12">
      <c r="A111" s="232">
        <v>822.1</v>
      </c>
      <c r="B111" s="173" t="s">
        <v>142</v>
      </c>
      <c r="C111" s="187" t="s">
        <v>218</v>
      </c>
      <c r="D111" s="185">
        <v>7.2</v>
      </c>
    </row>
    <row r="112" spans="1:4" ht="12">
      <c r="A112" s="232">
        <v>829.3000000000001</v>
      </c>
      <c r="B112" s="173" t="s">
        <v>81</v>
      </c>
      <c r="C112" s="187" t="s">
        <v>219</v>
      </c>
      <c r="D112" s="207">
        <v>0.4</v>
      </c>
    </row>
    <row r="113" spans="1:4" ht="12">
      <c r="A113" s="232">
        <v>829.7</v>
      </c>
      <c r="B113" s="173" t="s">
        <v>82</v>
      </c>
      <c r="C113" s="187" t="s">
        <v>220</v>
      </c>
      <c r="D113" s="207">
        <v>13.6</v>
      </c>
    </row>
    <row r="114" spans="1:4" ht="12">
      <c r="A114" s="235"/>
      <c r="B114" s="173"/>
      <c r="C114" s="219" t="s">
        <v>221</v>
      </c>
      <c r="D114" s="185"/>
    </row>
    <row r="115" spans="1:4" ht="12.75" thickBot="1">
      <c r="A115" s="237">
        <v>843.3000000000001</v>
      </c>
      <c r="B115" s="209" t="s">
        <v>82</v>
      </c>
      <c r="C115" s="220" t="s">
        <v>222</v>
      </c>
      <c r="D115" s="211"/>
    </row>
    <row r="116" spans="1:4" ht="37.5" thickBot="1">
      <c r="A116" s="230" t="s">
        <v>120</v>
      </c>
      <c r="B116" s="149" t="s">
        <v>80</v>
      </c>
      <c r="C116" s="150" t="s">
        <v>121</v>
      </c>
      <c r="D116" s="151" t="s">
        <v>122</v>
      </c>
    </row>
    <row r="117" spans="1:4" ht="12">
      <c r="A117" s="239">
        <v>843.3000000000001</v>
      </c>
      <c r="B117" s="221" t="s">
        <v>81</v>
      </c>
      <c r="C117" s="222" t="s">
        <v>145</v>
      </c>
      <c r="D117" s="183"/>
    </row>
    <row r="118" spans="1:4" ht="12">
      <c r="A118" s="232"/>
      <c r="B118" s="152"/>
      <c r="C118" s="198" t="s">
        <v>144</v>
      </c>
      <c r="D118" s="185"/>
    </row>
    <row r="119" spans="1:4" ht="12">
      <c r="A119" s="232"/>
      <c r="B119" s="152"/>
      <c r="C119" s="197"/>
      <c r="D119" s="185"/>
    </row>
    <row r="120" spans="1:5" ht="12">
      <c r="A120" s="232">
        <v>843.3000000000001</v>
      </c>
      <c r="B120" s="214" t="s">
        <v>138</v>
      </c>
      <c r="C120" s="197" t="s">
        <v>242</v>
      </c>
      <c r="D120" s="185">
        <v>7.5</v>
      </c>
      <c r="E120" s="85" t="s">
        <v>105</v>
      </c>
    </row>
    <row r="121" spans="1:4" ht="12">
      <c r="A121" s="232">
        <v>850.8000000000001</v>
      </c>
      <c r="B121" s="173" t="s">
        <v>81</v>
      </c>
      <c r="C121" s="197" t="s">
        <v>243</v>
      </c>
      <c r="D121" s="185">
        <v>3.3</v>
      </c>
    </row>
    <row r="122" spans="1:4" ht="12">
      <c r="A122" s="232">
        <v>854.1</v>
      </c>
      <c r="B122" s="152" t="s">
        <v>81</v>
      </c>
      <c r="C122" s="197" t="s">
        <v>244</v>
      </c>
      <c r="D122" s="185">
        <v>3.1</v>
      </c>
    </row>
    <row r="123" spans="1:4" ht="12">
      <c r="A123" s="232">
        <v>857.2</v>
      </c>
      <c r="B123" s="173" t="s">
        <v>82</v>
      </c>
      <c r="C123" s="197" t="s">
        <v>245</v>
      </c>
      <c r="D123" s="185">
        <v>0.6</v>
      </c>
    </row>
    <row r="124" spans="1:4" ht="12">
      <c r="A124" s="232">
        <v>857.8000000000001</v>
      </c>
      <c r="B124" s="214" t="s">
        <v>81</v>
      </c>
      <c r="C124" s="197" t="s">
        <v>246</v>
      </c>
      <c r="D124" s="207">
        <v>1.5</v>
      </c>
    </row>
    <row r="125" spans="1:4" ht="12">
      <c r="A125" s="232">
        <v>859.3000000000001</v>
      </c>
      <c r="B125" s="152" t="s">
        <v>81</v>
      </c>
      <c r="C125" s="197" t="s">
        <v>218</v>
      </c>
      <c r="D125" s="185">
        <v>5.9</v>
      </c>
    </row>
    <row r="126" spans="1:5" ht="12">
      <c r="A126" s="232">
        <v>865.2</v>
      </c>
      <c r="B126" s="173" t="s">
        <v>123</v>
      </c>
      <c r="C126" s="197" t="s">
        <v>247</v>
      </c>
      <c r="D126" s="185">
        <v>0</v>
      </c>
      <c r="E126"/>
    </row>
    <row r="127" spans="1:4" ht="12">
      <c r="A127" s="232">
        <v>865.2</v>
      </c>
      <c r="B127" s="173" t="s">
        <v>123</v>
      </c>
      <c r="C127" s="197" t="s">
        <v>248</v>
      </c>
      <c r="D127" s="185">
        <v>15</v>
      </c>
    </row>
    <row r="128" spans="1:4" ht="12">
      <c r="A128" s="232">
        <v>880.2</v>
      </c>
      <c r="B128" s="152" t="s">
        <v>81</v>
      </c>
      <c r="C128" s="197" t="s">
        <v>249</v>
      </c>
      <c r="D128" s="185">
        <v>1.6</v>
      </c>
    </row>
    <row r="129" spans="1:4" ht="12">
      <c r="A129" s="232">
        <v>881.8000000000001</v>
      </c>
      <c r="B129" s="152" t="s">
        <v>82</v>
      </c>
      <c r="C129" s="197" t="s">
        <v>250</v>
      </c>
      <c r="D129" s="185">
        <v>4.9</v>
      </c>
    </row>
    <row r="130" spans="1:4" ht="12">
      <c r="A130" s="232">
        <v>886.7</v>
      </c>
      <c r="B130" s="173" t="s">
        <v>81</v>
      </c>
      <c r="C130" s="197" t="s">
        <v>289</v>
      </c>
      <c r="D130" s="185">
        <v>1.4</v>
      </c>
    </row>
    <row r="131" spans="1:4" ht="12">
      <c r="A131" s="232">
        <v>888.1</v>
      </c>
      <c r="B131" s="152" t="s">
        <v>81</v>
      </c>
      <c r="C131" s="197" t="s">
        <v>278</v>
      </c>
      <c r="D131" s="185">
        <v>0.2</v>
      </c>
    </row>
    <row r="132" spans="1:4" ht="12">
      <c r="A132" s="232">
        <v>888.3000000000001</v>
      </c>
      <c r="B132" s="173" t="s">
        <v>123</v>
      </c>
      <c r="C132" s="197" t="s">
        <v>251</v>
      </c>
      <c r="D132" s="185">
        <v>0.7</v>
      </c>
    </row>
    <row r="133" spans="1:4" ht="12">
      <c r="A133" s="232">
        <v>889.0000000000001</v>
      </c>
      <c r="B133" s="173" t="s">
        <v>82</v>
      </c>
      <c r="C133" s="197" t="s">
        <v>279</v>
      </c>
      <c r="D133" s="185">
        <v>1.7</v>
      </c>
    </row>
    <row r="134" spans="1:4" ht="12">
      <c r="A134" s="232">
        <v>890.7000000000002</v>
      </c>
      <c r="B134" s="152" t="s">
        <v>81</v>
      </c>
      <c r="C134" s="197" t="s">
        <v>252</v>
      </c>
      <c r="D134" s="185">
        <v>3.7</v>
      </c>
    </row>
    <row r="135" spans="1:4" ht="12">
      <c r="A135" s="232">
        <v>894.4000000000002</v>
      </c>
      <c r="B135" s="173" t="s">
        <v>81</v>
      </c>
      <c r="C135" s="197" t="s">
        <v>253</v>
      </c>
      <c r="D135" s="185">
        <v>1.6</v>
      </c>
    </row>
    <row r="136" spans="1:4" ht="12">
      <c r="A136" s="232">
        <v>896.0000000000002</v>
      </c>
      <c r="B136" s="173" t="s">
        <v>82</v>
      </c>
      <c r="C136" s="197" t="s">
        <v>254</v>
      </c>
      <c r="D136" s="185">
        <v>1.9</v>
      </c>
    </row>
    <row r="137" spans="1:4" ht="12">
      <c r="A137" s="232">
        <v>897.9000000000002</v>
      </c>
      <c r="B137" s="152" t="s">
        <v>123</v>
      </c>
      <c r="C137" s="197" t="s">
        <v>255</v>
      </c>
      <c r="D137" s="185">
        <v>2.4</v>
      </c>
    </row>
    <row r="138" spans="1:4" ht="12.75" thickBot="1">
      <c r="A138" s="237">
        <v>900.3000000000002</v>
      </c>
      <c r="B138" s="209" t="s">
        <v>82</v>
      </c>
      <c r="C138" s="210" t="s">
        <v>226</v>
      </c>
      <c r="D138" s="211">
        <v>1.5</v>
      </c>
    </row>
    <row r="139" spans="1:4" ht="37.5" thickBot="1">
      <c r="A139" s="230" t="s">
        <v>120</v>
      </c>
      <c r="B139" s="149" t="s">
        <v>80</v>
      </c>
      <c r="C139" s="150" t="s">
        <v>121</v>
      </c>
      <c r="D139" s="151" t="s">
        <v>122</v>
      </c>
    </row>
    <row r="140" spans="1:4" ht="12">
      <c r="A140" s="239">
        <v>901.8000000000002</v>
      </c>
      <c r="B140" s="181"/>
      <c r="C140" s="222" t="s">
        <v>146</v>
      </c>
      <c r="D140" s="172"/>
    </row>
    <row r="141" spans="1:4" ht="12">
      <c r="A141" s="232"/>
      <c r="B141" s="152"/>
      <c r="C141" s="198" t="s">
        <v>147</v>
      </c>
      <c r="D141" s="174"/>
    </row>
    <row r="142" spans="1:4" ht="12">
      <c r="A142" s="232"/>
      <c r="B142" s="152"/>
      <c r="C142" s="198"/>
      <c r="D142" s="174"/>
    </row>
    <row r="143" spans="1:5" ht="12">
      <c r="A143" s="238">
        <v>901.8000000000002</v>
      </c>
      <c r="B143" s="243" t="s">
        <v>81</v>
      </c>
      <c r="C143" s="197" t="s">
        <v>226</v>
      </c>
      <c r="D143" s="205">
        <v>3.7</v>
      </c>
      <c r="E143"/>
    </row>
    <row r="144" spans="1:4" ht="12">
      <c r="A144" s="232">
        <v>905.5000000000002</v>
      </c>
      <c r="B144" s="152" t="s">
        <v>123</v>
      </c>
      <c r="C144" s="197" t="s">
        <v>237</v>
      </c>
      <c r="D144" s="174">
        <v>5.1</v>
      </c>
    </row>
    <row r="145" spans="1:4" ht="12">
      <c r="A145" s="232">
        <v>910.6000000000003</v>
      </c>
      <c r="B145" s="152" t="s">
        <v>123</v>
      </c>
      <c r="C145" s="197" t="s">
        <v>290</v>
      </c>
      <c r="D145" s="174">
        <v>0.3</v>
      </c>
    </row>
    <row r="146" spans="1:4" ht="12">
      <c r="A146" s="232">
        <v>910.9000000000002</v>
      </c>
      <c r="B146" s="173" t="s">
        <v>81</v>
      </c>
      <c r="C146" s="197" t="s">
        <v>227</v>
      </c>
      <c r="D146" s="174">
        <v>1.2</v>
      </c>
    </row>
    <row r="147" spans="1:4" ht="12">
      <c r="A147" s="232">
        <v>912.1000000000003</v>
      </c>
      <c r="B147" s="173" t="s">
        <v>81</v>
      </c>
      <c r="C147" s="197" t="s">
        <v>239</v>
      </c>
      <c r="D147" s="223">
        <v>3.9</v>
      </c>
    </row>
    <row r="148" spans="1:5" ht="12">
      <c r="A148" s="232">
        <v>916.0000000000002</v>
      </c>
      <c r="B148" s="173" t="s">
        <v>81</v>
      </c>
      <c r="C148" s="197" t="s">
        <v>228</v>
      </c>
      <c r="D148" s="224">
        <v>0.1</v>
      </c>
      <c r="E148" s="85" t="s">
        <v>105</v>
      </c>
    </row>
    <row r="149" spans="1:4" ht="12">
      <c r="A149" s="232">
        <v>916.1000000000003</v>
      </c>
      <c r="B149" s="173" t="s">
        <v>82</v>
      </c>
      <c r="C149" s="197" t="s">
        <v>229</v>
      </c>
      <c r="D149" s="174">
        <v>5.9</v>
      </c>
    </row>
    <row r="150" spans="1:4" ht="12">
      <c r="A150" s="232">
        <v>922.0000000000002</v>
      </c>
      <c r="B150" s="152" t="s">
        <v>81</v>
      </c>
      <c r="C150" s="197" t="s">
        <v>230</v>
      </c>
      <c r="D150" s="174">
        <v>4.3</v>
      </c>
    </row>
    <row r="151" spans="1:4" ht="12">
      <c r="A151" s="232">
        <v>926.3000000000002</v>
      </c>
      <c r="B151" s="173" t="s">
        <v>123</v>
      </c>
      <c r="C151" s="197" t="s">
        <v>231</v>
      </c>
      <c r="D151" s="174">
        <v>15.1</v>
      </c>
    </row>
    <row r="152" spans="1:4" ht="12">
      <c r="A152" s="232">
        <v>941.4000000000002</v>
      </c>
      <c r="B152" s="173" t="s">
        <v>81</v>
      </c>
      <c r="C152" s="197" t="s">
        <v>232</v>
      </c>
      <c r="D152" s="224">
        <v>15.3</v>
      </c>
    </row>
    <row r="153" spans="1:4" ht="12">
      <c r="A153" s="232">
        <v>956.7000000000002</v>
      </c>
      <c r="B153" s="173" t="s">
        <v>81</v>
      </c>
      <c r="C153" s="197" t="s">
        <v>233</v>
      </c>
      <c r="D153" s="224">
        <v>0.5</v>
      </c>
    </row>
    <row r="154" spans="1:4" ht="12">
      <c r="A154" s="232">
        <v>957.2000000000002</v>
      </c>
      <c r="B154" s="173" t="s">
        <v>82</v>
      </c>
      <c r="C154" s="197" t="s">
        <v>234</v>
      </c>
      <c r="D154" s="174">
        <v>2.3</v>
      </c>
    </row>
    <row r="155" spans="1:4" ht="12">
      <c r="A155" s="232">
        <v>959.5000000000001</v>
      </c>
      <c r="B155" s="173" t="s">
        <v>82</v>
      </c>
      <c r="C155" s="197" t="s">
        <v>235</v>
      </c>
      <c r="D155" s="224">
        <v>0.3</v>
      </c>
    </row>
    <row r="156" spans="1:4" ht="12">
      <c r="A156" s="232">
        <v>959.8000000000001</v>
      </c>
      <c r="B156" s="173" t="s">
        <v>82</v>
      </c>
      <c r="C156" s="197" t="s">
        <v>236</v>
      </c>
      <c r="D156" s="174">
        <v>2.8</v>
      </c>
    </row>
    <row r="157" spans="1:4" ht="12">
      <c r="A157" s="232">
        <v>962.6</v>
      </c>
      <c r="B157" s="173" t="s">
        <v>81</v>
      </c>
      <c r="C157" s="197" t="s">
        <v>232</v>
      </c>
      <c r="D157" s="174">
        <v>1.1</v>
      </c>
    </row>
    <row r="158" spans="1:4" ht="12">
      <c r="A158" s="232">
        <v>963.7</v>
      </c>
      <c r="B158" s="173" t="s">
        <v>81</v>
      </c>
      <c r="C158" s="175" t="s">
        <v>240</v>
      </c>
      <c r="D158" s="174">
        <v>0.3</v>
      </c>
    </row>
    <row r="159" spans="1:4" ht="12">
      <c r="A159" s="235"/>
      <c r="B159" s="243"/>
      <c r="C159" s="204" t="s">
        <v>241</v>
      </c>
      <c r="D159" s="205"/>
    </row>
    <row r="160" spans="1:4" ht="12">
      <c r="A160" s="235"/>
      <c r="B160" s="243"/>
      <c r="C160" s="204"/>
      <c r="D160" s="205"/>
    </row>
    <row r="161" spans="1:4" ht="12.75" thickBot="1">
      <c r="A161" s="240"/>
      <c r="B161" s="226"/>
      <c r="C161" s="227"/>
      <c r="D161" s="228"/>
    </row>
    <row r="162" spans="1:5" ht="37.5" thickBot="1">
      <c r="A162" s="230" t="s">
        <v>120</v>
      </c>
      <c r="B162" s="149" t="s">
        <v>80</v>
      </c>
      <c r="C162" s="150" t="s">
        <v>121</v>
      </c>
      <c r="D162" s="151" t="s">
        <v>122</v>
      </c>
      <c r="E162"/>
    </row>
    <row r="163" spans="1:5" ht="12">
      <c r="A163" s="231">
        <v>963.7</v>
      </c>
      <c r="B163" s="171" t="s">
        <v>81</v>
      </c>
      <c r="C163" s="196" t="s">
        <v>256</v>
      </c>
      <c r="D163" s="172">
        <v>3.2</v>
      </c>
      <c r="E163"/>
    </row>
    <row r="164" spans="1:5" ht="12">
      <c r="A164" s="232">
        <v>966.9000000000001</v>
      </c>
      <c r="B164" s="173" t="s">
        <v>81</v>
      </c>
      <c r="C164" s="197" t="s">
        <v>257</v>
      </c>
      <c r="D164" s="174">
        <v>0.1</v>
      </c>
      <c r="E164"/>
    </row>
    <row r="165" spans="1:5" ht="12">
      <c r="A165" s="232">
        <v>967.0000000000001</v>
      </c>
      <c r="B165" s="173" t="s">
        <v>82</v>
      </c>
      <c r="C165" s="197" t="s">
        <v>258</v>
      </c>
      <c r="D165" s="174">
        <v>0.2</v>
      </c>
      <c r="E165"/>
    </row>
    <row r="166" spans="1:5" ht="12">
      <c r="A166" s="232">
        <v>967.2000000000002</v>
      </c>
      <c r="B166" s="173" t="s">
        <v>81</v>
      </c>
      <c r="C166" s="197" t="s">
        <v>259</v>
      </c>
      <c r="D166" s="174">
        <v>1.1</v>
      </c>
      <c r="E166"/>
    </row>
    <row r="167" spans="1:5" ht="12">
      <c r="A167" s="232">
        <v>968.3000000000002</v>
      </c>
      <c r="B167" s="173" t="s">
        <v>123</v>
      </c>
      <c r="C167" s="197" t="s">
        <v>260</v>
      </c>
      <c r="D167" s="174">
        <v>0.2</v>
      </c>
      <c r="E167"/>
    </row>
    <row r="168" spans="1:5" ht="12">
      <c r="A168" s="232">
        <v>968.5000000000002</v>
      </c>
      <c r="B168" s="173" t="s">
        <v>81</v>
      </c>
      <c r="C168" s="197" t="s">
        <v>261</v>
      </c>
      <c r="D168" s="174">
        <v>1.6</v>
      </c>
      <c r="E168"/>
    </row>
    <row r="169" spans="1:5" ht="12">
      <c r="A169" s="232">
        <v>970.1000000000003</v>
      </c>
      <c r="B169" s="173" t="s">
        <v>148</v>
      </c>
      <c r="C169" s="197" t="s">
        <v>262</v>
      </c>
      <c r="D169" s="174">
        <v>0.2</v>
      </c>
      <c r="E169"/>
    </row>
    <row r="170" spans="1:5" ht="12">
      <c r="A170" s="232">
        <v>970.3000000000003</v>
      </c>
      <c r="B170" s="173" t="s">
        <v>139</v>
      </c>
      <c r="C170" s="197" t="s">
        <v>263</v>
      </c>
      <c r="D170" s="174">
        <v>1</v>
      </c>
      <c r="E170"/>
    </row>
    <row r="171" spans="1:5" ht="12">
      <c r="A171" s="232">
        <v>971.3000000000003</v>
      </c>
      <c r="B171" s="173" t="s">
        <v>148</v>
      </c>
      <c r="C171" s="197" t="s">
        <v>264</v>
      </c>
      <c r="D171" s="174">
        <v>0.4</v>
      </c>
      <c r="E171"/>
    </row>
    <row r="172" spans="1:5" ht="12">
      <c r="A172" s="232">
        <v>971.7000000000003</v>
      </c>
      <c r="B172" s="173" t="s">
        <v>82</v>
      </c>
      <c r="C172" s="197" t="s">
        <v>265</v>
      </c>
      <c r="D172" s="174">
        <v>0.2</v>
      </c>
      <c r="E172"/>
    </row>
    <row r="173" spans="1:5" ht="12">
      <c r="A173" s="232">
        <v>971.9000000000003</v>
      </c>
      <c r="B173" s="173" t="s">
        <v>81</v>
      </c>
      <c r="C173" s="197" t="s">
        <v>266</v>
      </c>
      <c r="D173" s="174">
        <v>1.3</v>
      </c>
      <c r="E173"/>
    </row>
    <row r="174" spans="1:5" ht="12">
      <c r="A174" s="232">
        <v>973.2000000000003</v>
      </c>
      <c r="B174" s="173" t="s">
        <v>148</v>
      </c>
      <c r="C174" s="197" t="s">
        <v>267</v>
      </c>
      <c r="D174" s="174">
        <v>5.1</v>
      </c>
      <c r="E174"/>
    </row>
    <row r="175" spans="1:5" ht="12">
      <c r="A175" s="232">
        <v>978.3000000000003</v>
      </c>
      <c r="B175" s="173" t="s">
        <v>81</v>
      </c>
      <c r="C175" s="197" t="s">
        <v>268</v>
      </c>
      <c r="D175" s="174">
        <v>0.2</v>
      </c>
      <c r="E175"/>
    </row>
    <row r="176" spans="1:5" ht="12">
      <c r="A176" s="232">
        <v>978.5000000000003</v>
      </c>
      <c r="B176" s="173" t="s">
        <v>82</v>
      </c>
      <c r="C176" s="197" t="s">
        <v>269</v>
      </c>
      <c r="D176" s="174">
        <v>1.8</v>
      </c>
      <c r="E176"/>
    </row>
    <row r="177" spans="1:5" ht="12">
      <c r="A177" s="232">
        <v>980.3000000000003</v>
      </c>
      <c r="B177" s="173" t="s">
        <v>82</v>
      </c>
      <c r="C177" s="197" t="s">
        <v>270</v>
      </c>
      <c r="D177" s="174">
        <v>1.5</v>
      </c>
      <c r="E177"/>
    </row>
    <row r="178" spans="1:5" ht="12">
      <c r="A178" s="232">
        <v>981.8000000000003</v>
      </c>
      <c r="B178" s="173" t="s">
        <v>123</v>
      </c>
      <c r="C178" s="197" t="s">
        <v>291</v>
      </c>
      <c r="D178" s="174">
        <v>5.3</v>
      </c>
      <c r="E178"/>
    </row>
    <row r="179" spans="1:5" ht="12">
      <c r="A179" s="232">
        <v>987.1000000000003</v>
      </c>
      <c r="B179" s="245" t="s">
        <v>81</v>
      </c>
      <c r="C179" s="175" t="s">
        <v>272</v>
      </c>
      <c r="D179" s="176">
        <v>5.9</v>
      </c>
      <c r="E179"/>
    </row>
    <row r="180" spans="1:5" ht="12">
      <c r="A180" s="232">
        <v>993.0000000000002</v>
      </c>
      <c r="B180" s="245" t="s">
        <v>81</v>
      </c>
      <c r="C180" s="175" t="s">
        <v>273</v>
      </c>
      <c r="D180" s="176">
        <v>9.6</v>
      </c>
      <c r="E180"/>
    </row>
    <row r="181" spans="1:5" ht="12">
      <c r="A181" s="232">
        <v>1002.6000000000003</v>
      </c>
      <c r="B181" s="245" t="s">
        <v>82</v>
      </c>
      <c r="C181" s="175" t="s">
        <v>274</v>
      </c>
      <c r="D181" s="176">
        <v>0.1</v>
      </c>
      <c r="E181"/>
    </row>
    <row r="182" spans="1:5" ht="12">
      <c r="A182" s="232">
        <v>1002.7000000000003</v>
      </c>
      <c r="B182" s="245" t="s">
        <v>81</v>
      </c>
      <c r="C182" s="175" t="s">
        <v>275</v>
      </c>
      <c r="D182" s="176">
        <v>4.3</v>
      </c>
      <c r="E182"/>
    </row>
    <row r="183" spans="1:5" ht="12">
      <c r="A183" s="233">
        <v>1007.0000000000002</v>
      </c>
      <c r="B183" s="173"/>
      <c r="C183" s="198" t="s">
        <v>276</v>
      </c>
      <c r="D183" s="174"/>
      <c r="E183"/>
    </row>
    <row r="184" spans="1:5" ht="12.75" thickBot="1">
      <c r="A184" s="237"/>
      <c r="B184" s="178"/>
      <c r="C184" s="179" t="s">
        <v>106</v>
      </c>
      <c r="D184" s="180"/>
      <c r="E184"/>
    </row>
    <row r="185" ht="12">
      <c r="E185"/>
    </row>
    <row r="186" ht="12">
      <c r="E186"/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" sqref="A1"/>
    </sheetView>
  </sheetViews>
  <sheetFormatPr defaultColWidth="8.8515625" defaultRowHeight="12.75"/>
  <cols>
    <col min="1" max="1" width="8.28125" style="0" customWidth="1"/>
    <col min="2" max="2" width="12.28125" style="0" customWidth="1"/>
  </cols>
  <sheetData>
    <row r="1" spans="1:4" ht="15.75" thickBot="1">
      <c r="A1" s="109"/>
      <c r="B1" s="109"/>
      <c r="C1" s="109"/>
      <c r="D1" s="109"/>
    </row>
    <row r="2" spans="1:4" ht="15.75" thickBot="1">
      <c r="A2" s="110" t="s">
        <v>107</v>
      </c>
      <c r="B2" s="111"/>
      <c r="C2" s="112"/>
      <c r="D2" s="113" t="s">
        <v>108</v>
      </c>
    </row>
    <row r="3" spans="1:4" ht="12.75" thickBot="1">
      <c r="A3" s="115" t="s">
        <v>109</v>
      </c>
      <c r="B3" s="116" t="s">
        <v>110</v>
      </c>
      <c r="C3" s="117"/>
      <c r="D3" s="114" t="s">
        <v>111</v>
      </c>
    </row>
    <row r="7" ht="12">
      <c r="A7" t="s">
        <v>112</v>
      </c>
    </row>
    <row r="8" ht="12">
      <c r="A8" t="s">
        <v>113</v>
      </c>
    </row>
    <row r="9" ht="12">
      <c r="A9" t="s">
        <v>114</v>
      </c>
    </row>
    <row r="10" ht="12">
      <c r="A10" t="s">
        <v>115</v>
      </c>
    </row>
    <row r="11" ht="12">
      <c r="A11" t="s">
        <v>116</v>
      </c>
    </row>
  </sheetData>
  <sheetProtection/>
  <printOptions/>
  <pageMargins left="0.7480314960629921" right="0.7480314960629921" top="0.984251968503937" bottom="0.984251968503937" header="0.31496062992125984" footer="0.5118110236220472"/>
  <pageSetup fitToHeight="1" fitToWidth="1" orientation="portrait" scale="98"/>
  <headerFooter alignWithMargins="0">
    <oddHeader>&amp;C&amp;"Arial,Bold"&amp;12RESULTS&amp;"Arial,Regular"&amp;10
Nanaimo Populaire
15th  March, 1998</oddHeader>
    <oddFooter>&amp;L&amp;F
&amp;A&amp;CPage &amp;P&amp;R&amp;D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Sian Echard</cp:lastModifiedBy>
  <cp:lastPrinted>2011-06-06T03:51:33Z</cp:lastPrinted>
  <dcterms:created xsi:type="dcterms:W3CDTF">1997-11-12T04:43:39Z</dcterms:created>
  <dcterms:modified xsi:type="dcterms:W3CDTF">2011-06-08T18:32:10Z</dcterms:modified>
  <cp:category/>
  <cp:version/>
  <cp:contentType/>
  <cp:contentStatus/>
</cp:coreProperties>
</file>