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4220" tabRatio="509" activeTab="3"/>
  </bookViews>
  <sheets>
    <sheet name="Control Entry" sheetId="1" r:id="rId1"/>
    <sheet name="Control Sheet" sheetId="2" r:id="rId2"/>
    <sheet name="Riders" sheetId="3" r:id="rId3"/>
    <sheet name="VI0304A 030429" sheetId="4" r:id="rId4"/>
    <sheet name="Web page for another ride!!" sheetId="5" r:id="rId5"/>
    <sheet name="Web results" sheetId="6" r:id="rId6"/>
  </sheets>
  <externalReferences>
    <externalReference r:id="rId9"/>
  </externalReferences>
  <definedNames>
    <definedName name="Address_1">'Riders'!$E$2</definedName>
    <definedName name="Address_2">'Riders'!$F$2</definedName>
    <definedName name="Address_3_5">#REF!</definedName>
    <definedName name="Address_4_5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<sst xmlns="http://schemas.openxmlformats.org/spreadsheetml/2006/main" count="373" uniqueCount="189">
  <si>
    <t>Rider's signature at completion</t>
  </si>
  <si>
    <t>Randonneur Committee Authorization</t>
  </si>
  <si>
    <t>cel (250)246-0238</t>
  </si>
  <si>
    <t>msg(250)245-4751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</si>
  <si>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</si>
  <si>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</si>
  <si>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</si>
  <si>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</si>
  <si>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</si>
  <si>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</si>
  <si>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</si>
  <si>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</si>
  <si>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</si>
  <si>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</si>
  <si>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Penalties</t>
  </si>
  <si>
    <t>Rand Memb</t>
  </si>
  <si>
    <t>Pin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</si>
  <si>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</si>
  <si>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</si>
  <si>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</si>
  <si>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</si>
  <si>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</si>
  <si>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</si>
  <si>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</si>
  <si>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</si>
  <si>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</si>
  <si>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>Emergency - 250-740-1405</t>
  </si>
  <si>
    <t>Esso Gas</t>
  </si>
  <si>
    <t>Emergency - 250-740-1405</t>
  </si>
  <si>
    <t>Shell Gas</t>
  </si>
  <si>
    <t>CONTROL #3 -- Esso Gas</t>
  </si>
  <si>
    <t>TERMINAL (Hwy #19A)(@Stewart)</t>
  </si>
  <si>
    <t>CONTROL #2--7-11, Nanaimo</t>
  </si>
  <si>
    <t>TERMINAL (Hwy #19A north)</t>
  </si>
  <si>
    <t>N. ISLAND HWY (Hwy #19A)</t>
  </si>
  <si>
    <t>HWY #19</t>
  </si>
  <si>
    <t>CONTROL #3--Payless Gas</t>
  </si>
  <si>
    <t>HWY #19 (@ 29th St.lights)</t>
  </si>
  <si>
    <t>HWY #19 (17th St., Courtenay)</t>
  </si>
  <si>
    <t>HWY #19 (Comox Rd.)</t>
  </si>
  <si>
    <t xml:space="preserve">HWY #19 (2nd lights) </t>
  </si>
  <si>
    <t xml:space="preserve">HWY #19A (old Island Hwy) </t>
  </si>
  <si>
    <t>HWY #19A (at Chevron)</t>
  </si>
  <si>
    <t>CONTROL #4--Tim Horton's</t>
  </si>
  <si>
    <t>Island Hwy @ Elm</t>
  </si>
  <si>
    <t>Campbell River</t>
  </si>
  <si>
    <t>HWY #19A</t>
  </si>
  <si>
    <t>HWY #19A (south to Courtenay)</t>
  </si>
  <si>
    <t>HWY #19 (at PetroCan)</t>
  </si>
  <si>
    <t>HWY #19A (@ 29th St.lights)</t>
  </si>
  <si>
    <t>Brevet Length:</t>
  </si>
  <si>
    <t>Maximum Time:</t>
  </si>
  <si>
    <t>Brevet Description:</t>
  </si>
  <si>
    <t>Duncan - Royston (Nanaimo start)</t>
  </si>
  <si>
    <t>Brevet Number:</t>
  </si>
  <si>
    <t>VI0304A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</si>
  <si>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</si>
  <si>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</si>
  <si>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</si>
  <si>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</si>
  <si>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</si>
  <si>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</si>
  <si>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</si>
  <si>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</si>
  <si>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</si>
  <si>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</si>
  <si>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</si>
  <si>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</si>
  <si>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</si>
  <si>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NANAIMO</t>
  </si>
  <si>
    <t>Tim Horton's</t>
  </si>
  <si>
    <t>Southgate Mall</t>
  </si>
  <si>
    <t>Tenth@Lawlor</t>
  </si>
  <si>
    <t>Control 2</t>
  </si>
  <si>
    <t>DUNCAN</t>
  </si>
  <si>
    <t>Highway #1</t>
  </si>
  <si>
    <t>Control 3</t>
  </si>
  <si>
    <t>QUALICUM BEACH</t>
  </si>
  <si>
    <t>Shell Gas</t>
  </si>
  <si>
    <t>Highway #19A @</t>
  </si>
  <si>
    <t>Memorial</t>
  </si>
  <si>
    <t>Control 4</t>
  </si>
  <si>
    <t>ROYSTON</t>
  </si>
  <si>
    <t>Cumberland</t>
  </si>
  <si>
    <t>Control 5</t>
  </si>
  <si>
    <t>Control 6</t>
  </si>
  <si>
    <t>Control 7</t>
  </si>
  <si>
    <t>Control 8</t>
  </si>
  <si>
    <t>Control 9</t>
  </si>
  <si>
    <t>SECRET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</si>
  <si>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</si>
  <si>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</si>
  <si>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</si>
  <si>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</si>
  <si>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</si>
  <si>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</si>
  <si>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</si>
  <si>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</si>
  <si>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</si>
  <si>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</si>
  <si>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</si>
  <si>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</si>
  <si>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</si>
  <si>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</si>
  <si>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</si>
  <si>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</si>
  <si>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</si>
  <si>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</si>
  <si>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</si>
  <si>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</si>
  <si>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</si>
  <si>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</si>
  <si>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</si>
  <si>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</si>
  <si>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</si>
  <si>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</si>
  <si>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</si>
  <si>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</si>
  <si>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</si>
  <si>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</si>
  <si>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</si>
  <si>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</si>
  <si>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</si>
  <si>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CONTROL #5--Payless Gas</t>
  </si>
  <si>
    <t>HWY #19A (south to Nanaimo)</t>
  </si>
  <si>
    <t>South through Parksville</t>
  </si>
  <si>
    <t>cross Hwy #19 (Nanaimo Pkwy)</t>
  </si>
  <si>
    <t>TERMINAL(Hwy #19A)(@St. George)</t>
  </si>
  <si>
    <t>FINISH--7-11, Nanaimo</t>
  </si>
  <si>
    <t>RIDER</t>
  </si>
  <si>
    <t>TIME</t>
  </si>
  <si>
    <t>Note:  1.  distance in time column represents incomplete ride.</t>
  </si>
  <si>
    <t>………2.  time is in hours and minutes.</t>
  </si>
  <si>
    <t>………3.  Penalties included:  l - 1/2 hr - no lights; f - 1/2 hr - no fenders; r - 1/2 hr - route violation</t>
  </si>
  <si>
    <t>………4.  Other codes:  e - rode early; d - rode late</t>
  </si>
  <si>
    <t>CONTROL #4--Shell Gas</t>
  </si>
  <si>
    <t>START--Tim Horton's</t>
  </si>
  <si>
    <t>R</t>
  </si>
  <si>
    <t>HWY #1 (north)</t>
  </si>
  <si>
    <t>SO</t>
  </si>
  <si>
    <t>North past Chemainus</t>
  </si>
  <si>
    <t>Chase River</t>
  </si>
  <si>
    <t>North through Ladysmith</t>
  </si>
  <si>
    <t>HWY #19 (north to Campbell River)</t>
  </si>
  <si>
    <t>L</t>
  </si>
  <si>
    <t>Parkinglot lane</t>
  </si>
  <si>
    <t>HWY #19 (past Woodgrove)</t>
  </si>
  <si>
    <t>LAWLOR</t>
  </si>
  <si>
    <t>HWY #19A (old Island highway)</t>
  </si>
  <si>
    <t>TENTH (to hwy)</t>
  </si>
  <si>
    <t>North through Parksville</t>
  </si>
  <si>
    <t>TRANSCANADA (Hwy #19A)</t>
  </si>
  <si>
    <t>MEMORIAL., Qualicum Beach</t>
  </si>
  <si>
    <t>HWY #1 (south towards Victoria)</t>
  </si>
  <si>
    <t>South through Ladysmith</t>
  </si>
  <si>
    <t>CONTROL #2--Shell Gas</t>
  </si>
  <si>
    <t>South past Chemainus</t>
  </si>
  <si>
    <t>Qualicum Beach</t>
  </si>
  <si>
    <t>CONTROL #1--Tim Horton's</t>
  </si>
  <si>
    <t>Duncan</t>
  </si>
  <si>
    <t>MEMORIAL</t>
  </si>
  <si>
    <t>HWY #19A (south thru Parksville)</t>
  </si>
  <si>
    <t>HWY #19A (north to Courtenay)</t>
  </si>
  <si>
    <t>HWY #19 (south to Nanaimo)</t>
  </si>
  <si>
    <t>north through Union Bay</t>
  </si>
  <si>
    <t>HWY #19A (exit 29)</t>
  </si>
  <si>
    <t>HWY #19 (against no right turn)</t>
  </si>
  <si>
    <t>JINGLE POT (exit 18)</t>
  </si>
  <si>
    <t>Island Hwy @ Cumberland</t>
  </si>
  <si>
    <t>THIRD</t>
  </si>
  <si>
    <t>Royston</t>
  </si>
  <si>
    <t>WAKESIAH (traffic light)</t>
  </si>
  <si>
    <t>SIXTH (no choice)</t>
  </si>
  <si>
    <t>HWY #19A (return south)</t>
  </si>
  <si>
    <t>BRUCE (2nd stop)</t>
  </si>
  <si>
    <t>TENTH (no choice)</t>
  </si>
  <si>
    <t>FINISH--Tim Horton's</t>
  </si>
  <si>
    <t>!!! CONGRATULATIONS !!!</t>
  </si>
  <si>
    <t>START--7-11, Nanaimo</t>
  </si>
  <si>
    <t>Terminal @ Townsite</t>
  </si>
  <si>
    <t>TERMINAL (Hwy #19A south)</t>
  </si>
  <si>
    <t>TERMINAL (Hwy #1)(@Stewart)</t>
  </si>
  <si>
    <t>NICOL (Hwy #1)(@Commercial)</t>
  </si>
  <si>
    <t>HWY #1 (Hwy #19A)</t>
  </si>
  <si>
    <t>HWY #1 (Hwy #19)</t>
  </si>
  <si>
    <t>HWY #1 (Hwy #19)(top of hill)</t>
  </si>
  <si>
    <t>HWY #1(Hwy #19A) (into Nanaimo)</t>
  </si>
  <si>
    <t>NICOL (Hwy #1)(entering Nanaimo)</t>
  </si>
  <si>
    <t>TERMINAL (Hwy #1)(@Commercial)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</si>
</sst>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"/>
    <numFmt numFmtId="165" formatCode="0.0"/>
    <numFmt numFmtId="166" formatCode="dd/mmm/yy\ hh:mm\ AM/PM"/>
    <numFmt numFmtId="167" formatCode="dddd"/>
    <numFmt numFmtId="168" formatCode="d/mmm/yy"/>
    <numFmt numFmtId="169" formatCode="[&lt;=9999999]###\-####;\(###&quot;) &quot;###\-####"/>
    <numFmt numFmtId="170" formatCode="mmmm\ d&quot;, &quot;yyyy"/>
  </numFmts>
  <fonts count="52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33" borderId="10" xfId="0" applyFont="1" applyFill="1" applyBorder="1" applyAlignment="1">
      <alignment horizontal="right"/>
    </xf>
    <xf numFmtId="0" fontId="0" fillId="0" borderId="11" xfId="0" applyBorder="1" applyAlignment="1" applyProtection="1">
      <alignment/>
      <protection locked="0"/>
    </xf>
    <xf numFmtId="0" fontId="0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49" fontId="0" fillId="0" borderId="13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64" fontId="0" fillId="0" borderId="13" xfId="0" applyNumberFormat="1" applyBorder="1" applyAlignment="1" applyProtection="1">
      <alignment/>
      <protection locked="0"/>
    </xf>
    <xf numFmtId="0" fontId="0" fillId="33" borderId="14" xfId="0" applyFont="1" applyFill="1" applyBorder="1" applyAlignment="1">
      <alignment horizontal="right"/>
    </xf>
    <xf numFmtId="20" fontId="0" fillId="0" borderId="15" xfId="0" applyNumberFormat="1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165" fontId="0" fillId="0" borderId="19" xfId="0" applyNumberForma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 vertical="center" wrapText="1"/>
    </xf>
    <xf numFmtId="165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3" fillId="33" borderId="24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/>
    </xf>
    <xf numFmtId="20" fontId="0" fillId="0" borderId="0" xfId="0" applyNumberFormat="1" applyAlignment="1">
      <alignment/>
    </xf>
    <xf numFmtId="165" fontId="4" fillId="0" borderId="23" xfId="0" applyNumberFormat="1" applyFont="1" applyBorder="1" applyAlignment="1">
      <alignment horizontal="center" wrapText="1"/>
    </xf>
    <xf numFmtId="167" fontId="4" fillId="0" borderId="23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0" fillId="0" borderId="0" xfId="0" applyAlignment="1">
      <alignment vertical="top" textRotation="90"/>
    </xf>
    <xf numFmtId="165" fontId="6" fillId="0" borderId="23" xfId="0" applyNumberFormat="1" applyFont="1" applyBorder="1" applyAlignment="1">
      <alignment horizontal="center" vertical="center"/>
    </xf>
    <xf numFmtId="18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10" fillId="0" borderId="2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3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31" xfId="0" applyBorder="1" applyAlignment="1">
      <alignment/>
    </xf>
    <xf numFmtId="0" fontId="0" fillId="0" borderId="15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3" fillId="33" borderId="24" xfId="0" applyFont="1" applyFill="1" applyBorder="1" applyAlignment="1">
      <alignment/>
    </xf>
    <xf numFmtId="0" fontId="13" fillId="33" borderId="24" xfId="0" applyFont="1" applyFill="1" applyBorder="1" applyAlignment="1">
      <alignment wrapText="1"/>
    </xf>
    <xf numFmtId="169" fontId="13" fillId="33" borderId="24" xfId="0" applyNumberFormat="1" applyFont="1" applyFill="1" applyBorder="1" applyAlignment="1">
      <alignment/>
    </xf>
    <xf numFmtId="169" fontId="13" fillId="33" borderId="24" xfId="0" applyNumberFormat="1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/>
    </xf>
    <xf numFmtId="169" fontId="0" fillId="34" borderId="12" xfId="0" applyNumberFormat="1" applyFont="1" applyFill="1" applyBorder="1" applyAlignment="1" applyProtection="1">
      <alignment/>
      <protection locked="0"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169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9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 locked="0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5" fontId="0" fillId="34" borderId="16" xfId="0" applyNumberFormat="1" applyFont="1" applyFill="1" applyBorder="1" applyAlignment="1">
      <alignment horizontal="right" textRotation="90" wrapText="1"/>
    </xf>
    <xf numFmtId="49" fontId="0" fillId="34" borderId="32" xfId="0" applyNumberFormat="1" applyFont="1" applyFill="1" applyBorder="1" applyAlignment="1">
      <alignment horizontal="center" textRotation="90"/>
    </xf>
    <xf numFmtId="49" fontId="0" fillId="34" borderId="33" xfId="0" applyNumberFormat="1" applyFont="1" applyFill="1" applyBorder="1" applyAlignment="1">
      <alignment horizontal="center" wrapText="1"/>
    </xf>
    <xf numFmtId="165" fontId="0" fillId="34" borderId="34" xfId="0" applyNumberFormat="1" applyFont="1" applyFill="1" applyBorder="1" applyAlignment="1">
      <alignment horizontal="center" textRotation="90" wrapText="1"/>
    </xf>
    <xf numFmtId="165" fontId="0" fillId="0" borderId="35" xfId="0" applyNumberFormat="1" applyBorder="1" applyAlignment="1">
      <alignment horizontal="right"/>
    </xf>
    <xf numFmtId="49" fontId="0" fillId="0" borderId="36" xfId="0" applyNumberFormat="1" applyBorder="1" applyAlignment="1">
      <alignment horizontal="center"/>
    </xf>
    <xf numFmtId="49" fontId="13" fillId="0" borderId="36" xfId="0" applyNumberFormat="1" applyFont="1" applyBorder="1" applyAlignment="1">
      <alignment horizontal="center"/>
    </xf>
    <xf numFmtId="165" fontId="0" fillId="0" borderId="37" xfId="0" applyNumberFormat="1" applyBorder="1" applyAlignment="1">
      <alignment horizontal="right"/>
    </xf>
    <xf numFmtId="165" fontId="0" fillId="0" borderId="38" xfId="0" applyNumberFormat="1" applyBorder="1" applyAlignment="1" applyProtection="1">
      <alignment horizontal="right"/>
      <protection locked="0"/>
    </xf>
    <xf numFmtId="49" fontId="0" fillId="0" borderId="39" xfId="0" applyNumberFormat="1" applyFont="1" applyBorder="1" applyAlignment="1" applyProtection="1">
      <alignment horizontal="center"/>
      <protection locked="0"/>
    </xf>
    <xf numFmtId="49" fontId="0" fillId="0" borderId="39" xfId="0" applyNumberFormat="1" applyFont="1" applyBorder="1" applyAlignment="1" applyProtection="1">
      <alignment horizontal="left"/>
      <protection locked="0"/>
    </xf>
    <xf numFmtId="165" fontId="0" fillId="0" borderId="40" xfId="0" applyNumberFormat="1" applyBorder="1" applyAlignment="1" applyProtection="1">
      <alignment horizontal="right"/>
      <protection locked="0"/>
    </xf>
    <xf numFmtId="165" fontId="0" fillId="0" borderId="41" xfId="0" applyNumberFormat="1" applyBorder="1" applyAlignment="1">
      <alignment horizontal="right"/>
    </xf>
    <xf numFmtId="49" fontId="0" fillId="0" borderId="42" xfId="0" applyNumberFormat="1" applyBorder="1" applyAlignment="1">
      <alignment horizontal="center"/>
    </xf>
    <xf numFmtId="49" fontId="13" fillId="0" borderId="42" xfId="0" applyNumberFormat="1" applyFont="1" applyBorder="1" applyAlignment="1">
      <alignment horizontal="center"/>
    </xf>
    <xf numFmtId="165" fontId="0" fillId="0" borderId="43" xfId="0" applyNumberFormat="1" applyBorder="1" applyAlignment="1">
      <alignment horizontal="right"/>
    </xf>
    <xf numFmtId="49" fontId="0" fillId="0" borderId="44" xfId="0" applyNumberFormat="1" applyFont="1" applyBorder="1" applyAlignment="1" applyProtection="1">
      <alignment horizontal="center"/>
      <protection locked="0"/>
    </xf>
    <xf numFmtId="49" fontId="0" fillId="0" borderId="44" xfId="0" applyNumberFormat="1" applyFont="1" applyBorder="1" applyAlignment="1" applyProtection="1">
      <alignment horizontal="left"/>
      <protection locked="0"/>
    </xf>
    <xf numFmtId="49" fontId="0" fillId="0" borderId="42" xfId="0" applyNumberFormat="1" applyBorder="1" applyAlignment="1">
      <alignment horizontal="left"/>
    </xf>
    <xf numFmtId="165" fontId="0" fillId="0" borderId="38" xfId="0" applyNumberFormat="1" applyBorder="1" applyAlignment="1">
      <alignment horizontal="right"/>
    </xf>
    <xf numFmtId="49" fontId="0" fillId="0" borderId="39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left"/>
    </xf>
    <xf numFmtId="165" fontId="0" fillId="0" borderId="40" xfId="0" applyNumberFormat="1" applyFont="1" applyBorder="1" applyAlignment="1">
      <alignment horizontal="right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left"/>
      <protection locked="0"/>
    </xf>
    <xf numFmtId="165" fontId="13" fillId="0" borderId="38" xfId="0" applyNumberFormat="1" applyFont="1" applyBorder="1" applyAlignment="1" applyProtection="1">
      <alignment horizontal="right"/>
      <protection locked="0"/>
    </xf>
    <xf numFmtId="49" fontId="13" fillId="0" borderId="39" xfId="0" applyNumberFormat="1" applyFont="1" applyBorder="1" applyAlignment="1" applyProtection="1">
      <alignment horizontal="center"/>
      <protection locked="0"/>
    </xf>
    <xf numFmtId="165" fontId="13" fillId="0" borderId="40" xfId="0" applyNumberFormat="1" applyFont="1" applyBorder="1" applyAlignment="1" applyProtection="1">
      <alignment horizontal="right"/>
      <protection locked="0"/>
    </xf>
    <xf numFmtId="0" fontId="13" fillId="0" borderId="39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49" fontId="13" fillId="0" borderId="44" xfId="0" applyNumberFormat="1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165" fontId="0" fillId="0" borderId="45" xfId="0" applyNumberFormat="1" applyBorder="1" applyAlignment="1" applyProtection="1">
      <alignment horizontal="right"/>
      <protection locked="0"/>
    </xf>
    <xf numFmtId="49" fontId="0" fillId="0" borderId="46" xfId="0" applyNumberFormat="1" applyBorder="1" applyAlignment="1" applyProtection="1">
      <alignment horizontal="center"/>
      <protection locked="0"/>
    </xf>
    <xf numFmtId="49" fontId="0" fillId="0" borderId="46" xfId="0" applyNumberFormat="1" applyBorder="1" applyAlignment="1" applyProtection="1">
      <alignment horizontal="left"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165" fontId="0" fillId="0" borderId="26" xfId="0" applyNumberFormat="1" applyBorder="1" applyAlignment="1">
      <alignment horizontal="right"/>
    </xf>
    <xf numFmtId="49" fontId="0" fillId="0" borderId="26" xfId="0" applyNumberFormat="1" applyBorder="1" applyAlignment="1">
      <alignment horizontal="center"/>
    </xf>
    <xf numFmtId="49" fontId="0" fillId="0" borderId="26" xfId="0" applyNumberFormat="1" applyBorder="1" applyAlignment="1">
      <alignment horizontal="left"/>
    </xf>
    <xf numFmtId="165" fontId="0" fillId="0" borderId="40" xfId="0" applyNumberFormat="1" applyBorder="1" applyAlignment="1">
      <alignment horizontal="right"/>
    </xf>
    <xf numFmtId="0" fontId="0" fillId="0" borderId="47" xfId="0" applyBorder="1" applyAlignment="1">
      <alignment/>
    </xf>
    <xf numFmtId="49" fontId="13" fillId="0" borderId="42" xfId="0" applyNumberFormat="1" applyFont="1" applyBorder="1" applyAlignment="1" applyProtection="1">
      <alignment horizontal="center"/>
      <protection locked="0"/>
    </xf>
    <xf numFmtId="165" fontId="13" fillId="0" borderId="43" xfId="0" applyNumberFormat="1" applyFont="1" applyBorder="1" applyAlignment="1" applyProtection="1">
      <alignment horizontal="right"/>
      <protection locked="0"/>
    </xf>
    <xf numFmtId="165" fontId="13" fillId="0" borderId="38" xfId="0" applyNumberFormat="1" applyFont="1" applyBorder="1" applyAlignment="1">
      <alignment horizontal="right"/>
    </xf>
    <xf numFmtId="49" fontId="13" fillId="0" borderId="39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left"/>
    </xf>
    <xf numFmtId="49" fontId="0" fillId="0" borderId="44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6" xfId="0" applyNumberFormat="1" applyBorder="1" applyAlignment="1">
      <alignment horizontal="left"/>
    </xf>
    <xf numFmtId="165" fontId="0" fillId="0" borderId="15" xfId="0" applyNumberFormat="1" applyBorder="1" applyAlignment="1">
      <alignment horizontal="right"/>
    </xf>
    <xf numFmtId="49" fontId="14" fillId="0" borderId="46" xfId="0" applyNumberFormat="1" applyFont="1" applyBorder="1" applyAlignment="1" applyProtection="1">
      <alignment horizontal="center"/>
      <protection locked="0"/>
    </xf>
    <xf numFmtId="49" fontId="14" fillId="0" borderId="2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5" fontId="0" fillId="0" borderId="44" xfId="0" applyNumberFormat="1" applyFont="1" applyBorder="1" applyAlignment="1">
      <alignment/>
    </xf>
    <xf numFmtId="0" fontId="0" fillId="0" borderId="44" xfId="0" applyFont="1" applyBorder="1" applyAlignment="1">
      <alignment/>
    </xf>
    <xf numFmtId="49" fontId="13" fillId="0" borderId="44" xfId="0" applyNumberFormat="1" applyFont="1" applyBorder="1" applyAlignment="1">
      <alignment horizontal="center"/>
    </xf>
    <xf numFmtId="0" fontId="15" fillId="34" borderId="32" xfId="0" applyFont="1" applyFill="1" applyBorder="1" applyAlignment="1">
      <alignment/>
    </xf>
    <xf numFmtId="0" fontId="15" fillId="34" borderId="18" xfId="0" applyFont="1" applyFill="1" applyBorder="1" applyAlignment="1">
      <alignment horizontal="center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18" fontId="0" fillId="0" borderId="26" xfId="0" applyNumberFormat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 locked="0"/>
    </xf>
    <xf numFmtId="0" fontId="0" fillId="33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170" fontId="8" fillId="0" borderId="2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169" fontId="11" fillId="0" borderId="26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5" fillId="34" borderId="4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9525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238125"/>
          <a:ext cx="4743450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sty\Library\Containers\com.apple.mail\Data\Library\Mail%20Downloads\AppData\Local\Temp\Rar$DI06.409\VI0400B%20Duncan--Campbell%20River%20(Ladysmith%20star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Sheet"/>
      <sheetName val="Riders"/>
      <sheetName val="VI0400B 000430"/>
      <sheetName val="Web Page"/>
      <sheetName val="Web results"/>
      <sheetName val="VI0400B 990505"/>
      <sheetName val="VI0400B 0105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B1">
      <selection activeCell="F35" sqref="F35"/>
    </sheetView>
  </sheetViews>
  <sheetFormatPr defaultColWidth="8.8515625" defaultRowHeight="12.75"/>
  <cols>
    <col min="1" max="1" width="16.421875" style="1" customWidth="1"/>
    <col min="2" max="2" width="9.7109375" style="0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</cols>
  <sheetData>
    <row r="1" spans="1:3" ht="12.75">
      <c r="A1" s="3" t="s">
        <v>50</v>
      </c>
      <c r="B1" s="4">
        <v>300</v>
      </c>
      <c r="C1">
        <f>IF(Brevet_Length&gt;=1200,Brevet_Length,IF(Brevet_Length&gt;=1000,1000,IF(Brevet_Length&gt;=600,600,IF(Brevet_Length&gt;=400,400,IF(Brevet_Length&gt;=300,300,IF(Brevet_Length&gt;=200,200,100))))))</f>
        <v>300</v>
      </c>
    </row>
    <row r="2" spans="1:2" ht="12.75">
      <c r="A2" s="5" t="s">
        <v>51</v>
      </c>
      <c r="B2" s="6">
        <f>IF(brevet=1200,90,IF(brevet=1000,75,IF(brevet=600,40,IF(brevet=400,27,IF(brevet=300,20,IF(brevet=200,13.5,IF(brevet=100,7,0)))))))</f>
        <v>20</v>
      </c>
    </row>
    <row r="3" spans="1:8" ht="12.75">
      <c r="A3" s="5" t="s">
        <v>52</v>
      </c>
      <c r="B3" s="166" t="s">
        <v>53</v>
      </c>
      <c r="C3" s="166"/>
      <c r="D3" s="166"/>
      <c r="E3" s="166"/>
      <c r="F3" s="166"/>
      <c r="G3" s="166"/>
      <c r="H3" s="166"/>
    </row>
    <row r="4" spans="1:8" ht="12.75">
      <c r="A4" s="5" t="s">
        <v>54</v>
      </c>
      <c r="B4" s="7" t="s">
        <v>55</v>
      </c>
      <c r="C4" s="8"/>
      <c r="D4" s="9"/>
      <c r="E4" s="9"/>
      <c r="F4" s="9" t="s">
        <v>28</v>
      </c>
      <c r="G4" s="9"/>
      <c r="H4" s="9"/>
    </row>
    <row r="5" spans="1:2" ht="12.75">
      <c r="A5" s="5" t="s">
        <v>56</v>
      </c>
      <c r="B5" s="10"/>
    </row>
    <row r="6" spans="1:2" ht="12">
      <c r="A6" s="11" t="s">
        <v>57</v>
      </c>
      <c r="B6" s="12">
        <v>0.25</v>
      </c>
    </row>
    <row r="7" spans="4:8" ht="12">
      <c r="D7" s="167" t="s">
        <v>58</v>
      </c>
      <c r="E7" s="167"/>
      <c r="F7" s="167"/>
      <c r="G7" s="167"/>
      <c r="H7" s="167"/>
    </row>
    <row r="8" spans="4:8" ht="12.75" customHeight="1" hidden="1">
      <c r="D8" s="13"/>
      <c r="E8" s="13"/>
      <c r="F8" s="13"/>
      <c r="G8" s="13"/>
      <c r="H8" s="13"/>
    </row>
    <row r="9" spans="4:12" ht="12">
      <c r="D9" s="14" t="s">
        <v>59</v>
      </c>
      <c r="E9" s="15" t="s">
        <v>60</v>
      </c>
      <c r="F9" s="15" t="s">
        <v>61</v>
      </c>
      <c r="G9" s="15" t="s">
        <v>62</v>
      </c>
      <c r="H9" s="16" t="s">
        <v>63</v>
      </c>
      <c r="I9" t="s">
        <v>64</v>
      </c>
      <c r="J9" t="s">
        <v>65</v>
      </c>
      <c r="K9" t="s">
        <v>66</v>
      </c>
      <c r="L9" t="s">
        <v>67</v>
      </c>
    </row>
    <row r="10" spans="3:12" ht="12">
      <c r="C10" s="2" t="s">
        <v>68</v>
      </c>
      <c r="D10" s="17">
        <v>0</v>
      </c>
      <c r="E10" s="18" t="s">
        <v>69</v>
      </c>
      <c r="F10" s="19" t="s">
        <v>70</v>
      </c>
      <c r="G10" s="19" t="s">
        <v>71</v>
      </c>
      <c r="H10" s="20" t="s">
        <v>72</v>
      </c>
      <c r="I10" s="21">
        <f>Start_date+Start_time</f>
        <v>0.25</v>
      </c>
      <c r="J10" s="21">
        <f>I10+"1:00"</f>
        <v>0.2916666666666667</v>
      </c>
      <c r="K10" s="22">
        <f>IF(ISBLANK(Distance),"",Open Control_1)</f>
        <v>0.25</v>
      </c>
      <c r="L10" s="22">
        <f>IF(ISBLANK(Distance),"",Close Control_1)</f>
        <v>0.2916666666666667</v>
      </c>
    </row>
    <row r="11" spans="3:12" ht="12">
      <c r="C11" s="2" t="s">
        <v>73</v>
      </c>
      <c r="D11" s="17">
        <f>'VI0304A 030429'!A14</f>
        <v>45.099999999999994</v>
      </c>
      <c r="E11" s="18" t="s">
        <v>74</v>
      </c>
      <c r="F11" s="19" t="s">
        <v>70</v>
      </c>
      <c r="G11" s="19" t="s">
        <v>75</v>
      </c>
      <c r="H11" s="20"/>
      <c r="I11">
        <f>IF(ISBLANK(Distance),"",IF(Distance&gt;1000,(Distance-1000)/26+33.0847,(IF(Distance&gt;600,(Distance-600)/28+18.799,(IF(Distance&gt;400,(Distance-400)/30+12.1324,(IF(Distance&gt;200,(Distance-200)/32+5.8824,Distance/34))))))))</f>
        <v>1.3264705882352938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3.0066666666666664</v>
      </c>
      <c r="K11" s="22">
        <f>IF(ISBLANK(Distance),"",Open_time Control_1+(INT(Open)&amp;":"&amp;IF(ROUND(((Open-INT(Open))*60),0)&lt;10,0,"")&amp;ROUND(((Open-INT(Open))*60),0)))</f>
        <v>0.3055555555555556</v>
      </c>
      <c r="L11" s="22">
        <f>IF(ISBLANK(Distance),"",Open_time Control_1+(INT(Close)&amp;":"&amp;IF(ROUND(((Close-INT(Close))*60),0)&lt;10,0,"")&amp;ROUND(((Close-INT(Close))*60),0)))</f>
        <v>0.375</v>
      </c>
    </row>
    <row r="12" spans="3:12" ht="12">
      <c r="C12" s="2" t="s">
        <v>76</v>
      </c>
      <c r="D12" s="17">
        <f>'VI0304A 030429'!F11</f>
        <v>141.5</v>
      </c>
      <c r="E12" s="18" t="s">
        <v>77</v>
      </c>
      <c r="F12" s="164" t="s">
        <v>29</v>
      </c>
      <c r="G12" s="19" t="s">
        <v>79</v>
      </c>
      <c r="H12" s="20" t="s">
        <v>80</v>
      </c>
      <c r="I12">
        <f>IF(ISBLANK(Distance),"",IF(Distance&gt;1000,(Distance-1000)/26+33.0847,(IF(Distance&gt;600,(Distance-600)/28+18.799,(IF(Distance&gt;400,(Distance-400)/30+12.1324,(IF(Distance&gt;200,(Distance-200)/32+5.8824,Distance/34))))))))</f>
        <v>4.161764705882353</v>
      </c>
      <c r="J12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9.433333333333334</v>
      </c>
      <c r="K12" s="22">
        <f>IF(ISBLANK(Distance),"",Open_time Control_1+(INT(Open)&amp;":"&amp;IF(ROUND(((Open-INT(Open))*60),0)&lt;10,0,"")&amp;ROUND(((Open-INT(Open))*60),0)))</f>
        <v>0.42361111111111116</v>
      </c>
      <c r="L12" s="22">
        <f>IF(ISBLANK(Distance),"",Open_time Control_1+(INT(Close)&amp;":"&amp;IF(ROUND(((Close-INT(Close))*60),0)&lt;10,0,"")&amp;ROUND(((Close-INT(Close))*60),0)))</f>
        <v>0.6430555555555555</v>
      </c>
    </row>
    <row r="13" spans="3:12" ht="12">
      <c r="C13" s="2" t="s">
        <v>81</v>
      </c>
      <c r="D13" s="17">
        <f>'VI0304A 030429'!A30</f>
        <v>196.9</v>
      </c>
      <c r="E13" s="18" t="s">
        <v>82</v>
      </c>
      <c r="F13" s="164" t="s">
        <v>27</v>
      </c>
      <c r="G13" s="19" t="s">
        <v>79</v>
      </c>
      <c r="H13" s="20" t="s">
        <v>83</v>
      </c>
      <c r="I13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5.791176470588235</v>
      </c>
      <c r="J13">
        <f t="shared" si="0"/>
        <v>13.126666666666667</v>
      </c>
      <c r="K13" s="22">
        <f>IF(ISBLANK(Distance),"",Open_time Control_1+(INT(Open)&amp;":"&amp;IF(ROUND(((Open-INT(Open))*60),0)&lt;10,0,"")&amp;ROUND(((Open-INT(Open))*60),0)))</f>
        <v>0.49097222222222225</v>
      </c>
      <c r="L13" s="22">
        <f>IF(ISBLANK(Distance),"",Open_time Control_1+(INT(Close)&amp;":"&amp;IF(ROUND(((Close-INT(Close))*60),0)&lt;10,0,"")&amp;ROUND(((Close-INT(Close))*60),0)))</f>
        <v>0.7972222222222222</v>
      </c>
    </row>
    <row r="14" spans="3:12" ht="12">
      <c r="C14" s="2" t="s">
        <v>84</v>
      </c>
      <c r="D14" s="17">
        <f>'VI0304A 030429'!A36</f>
        <v>252.3</v>
      </c>
      <c r="E14" s="18" t="s">
        <v>77</v>
      </c>
      <c r="F14" s="19" t="s">
        <v>78</v>
      </c>
      <c r="G14" s="19" t="s">
        <v>79</v>
      </c>
      <c r="H14" s="20" t="s">
        <v>80</v>
      </c>
      <c r="I14">
        <f t="shared" si="1"/>
        <v>7.516775</v>
      </c>
      <c r="J14">
        <f t="shared" si="0"/>
        <v>16.82</v>
      </c>
      <c r="K14" s="22">
        <f>IF(ISBLANK(Distance),"",Open_time Control_1+(INT(Open)&amp;":"&amp;IF(ROUND(((Open-INT(Open))*60),0)&lt;10,0,"")&amp;ROUND(((Open-INT(Open))*60),0)))</f>
        <v>0.5631944444444444</v>
      </c>
      <c r="L14" s="22">
        <f>IF(ISBLANK(Distance),"",Open_time Control_1+(INT(Close)&amp;":"&amp;IF(ROUND(((Close-INT(Close))*60),0)&lt;10,0,"")&amp;ROUND(((Close-INT(Close))*60),0)))</f>
        <v>0.9506944444444444</v>
      </c>
    </row>
    <row r="15" spans="3:12" ht="12">
      <c r="C15" s="2" t="s">
        <v>85</v>
      </c>
      <c r="D15" s="17">
        <f>'VI0304A 030429'!F37</f>
        <v>305.3999999999999</v>
      </c>
      <c r="E15" s="18" t="s">
        <v>69</v>
      </c>
      <c r="F15" s="19" t="s">
        <v>70</v>
      </c>
      <c r="G15" s="19" t="s">
        <v>71</v>
      </c>
      <c r="H15" s="20" t="s">
        <v>72</v>
      </c>
      <c r="I15">
        <f t="shared" si="1"/>
        <v>9.176149999999996</v>
      </c>
      <c r="J15">
        <f t="shared" si="0"/>
        <v>20</v>
      </c>
      <c r="K15" s="22">
        <f>IF(ISBLANK(Distance),"",Open_time Control_1+(INT(Open)&amp;":"&amp;IF(ROUND(((Open-INT(Open))*60),0)&lt;10,0,"")&amp;ROUND(((Open-INT(Open))*60),0)))</f>
        <v>0.632638888888889</v>
      </c>
      <c r="L15" s="22">
        <f>IF(ISBLANK(Distance),"",Open_time Control_1+(INT(Close)&amp;":"&amp;IF(ROUND(((Close-INT(Close))*60),0)&lt;10,0,"")&amp;ROUND(((Close-INT(Close))*60),0)))</f>
        <v>1.0833333333333335</v>
      </c>
    </row>
    <row r="16" spans="3:12" ht="12">
      <c r="C16" s="2" t="s">
        <v>86</v>
      </c>
      <c r="D16" s="17"/>
      <c r="E16" s="18"/>
      <c r="F16" s="19"/>
      <c r="G16" s="19"/>
      <c r="H16" s="20"/>
      <c r="I16">
        <f t="shared" si="1"/>
      </c>
      <c r="J16">
        <f t="shared" si="0"/>
      </c>
      <c r="K16" s="22">
        <f>IF(ISBLANK(Distance),"",Open_time Control_1+(INT(Open)&amp;":"&amp;IF(ROUND(((Open-INT(Open))*60),0)&lt;10,0,"")&amp;ROUND(((Open-INT(Open))*60),0)))</f>
      </c>
      <c r="L16" s="22">
        <f>IF(ISBLANK(Distance),"",Open_time Control_1+(INT(Close)&amp;":"&amp;IF(ROUND(((Close-INT(Close))*60),0)&lt;10,0,"")&amp;ROUND(((Close-INT(Close))*60),0)))</f>
      </c>
    </row>
    <row r="17" spans="3:12" ht="12">
      <c r="C17" s="2" t="s">
        <v>87</v>
      </c>
      <c r="D17" s="17"/>
      <c r="E17" s="18"/>
      <c r="F17" s="19"/>
      <c r="G17" s="19"/>
      <c r="H17" s="20"/>
      <c r="I17">
        <f t="shared" si="1"/>
      </c>
      <c r="J17">
        <f t="shared" si="0"/>
      </c>
      <c r="K17" s="22">
        <f>IF(ISBLANK(Distance),"",Open_time Control_1+(INT(Open)&amp;":"&amp;IF(ROUND(((Open-INT(Open))*60),0)&lt;10,0,"")&amp;ROUND(((Open-INT(Open))*60),0)))</f>
      </c>
      <c r="L17" s="22">
        <f>IF(ISBLANK(Distance),"",Open_time Control_1+(INT(Close)&amp;":"&amp;IF(ROUND(((Close-INT(Close))*60),0)&lt;10,0,"")&amp;ROUND(((Close-INT(Close))*60),0)))</f>
      </c>
    </row>
    <row r="18" spans="3:12" ht="12">
      <c r="C18" s="2" t="s">
        <v>88</v>
      </c>
      <c r="D18" s="17"/>
      <c r="E18" s="18" t="s">
        <v>89</v>
      </c>
      <c r="F18" s="19"/>
      <c r="G18" s="19"/>
      <c r="H18" s="20"/>
      <c r="I18">
        <f t="shared" si="1"/>
      </c>
      <c r="J18">
        <f t="shared" si="0"/>
      </c>
      <c r="K18" s="22">
        <f>IF(ISBLANK(Distance),"",Open_time Control_1+(INT(Open)&amp;":"&amp;IF(ROUND(((Open-INT(Open))*60),0)&lt;10,0,"")&amp;ROUND(((Open-INT(Open))*60),0)))</f>
      </c>
      <c r="L18" s="22">
        <f>IF(ISBLANK(Distance),"",Open_time Control_1+(INT(Close)&amp;":"&amp;IF(ROUND(((Close-INT(Close))*60),0)&lt;10,0,"")&amp;ROUND(((Close-INT(Close))*60),0)))</f>
      </c>
    </row>
    <row r="19" spans="3:12" ht="12">
      <c r="C19" s="2" t="s">
        <v>90</v>
      </c>
      <c r="D19" s="17"/>
      <c r="E19" s="18" t="s">
        <v>89</v>
      </c>
      <c r="F19" s="19"/>
      <c r="G19" s="19"/>
      <c r="H19" s="20"/>
      <c r="I19">
        <f t="shared" si="1"/>
      </c>
      <c r="J19">
        <f t="shared" si="0"/>
      </c>
      <c r="K19" s="22">
        <f>IF(ISBLANK(Distance),"",Open_time Control_1+(INT(Open)&amp;":"&amp;IF(ROUND(((Open-INT(Open))*60),0)&lt;10,0,"")&amp;ROUND(((Open-INT(Open))*60),0)))</f>
      </c>
      <c r="L19" s="22">
        <f>IF(ISBLANK(Distance),"",Open_time Control_1+(INT(Close)&amp;":"&amp;IF(ROUND(((Close-INT(Close))*60),0)&lt;10,0,"")&amp;ROUND(((Close-INT(Close))*60),0)))</f>
      </c>
    </row>
    <row r="20" spans="3:12" ht="12">
      <c r="C20" s="2" t="s">
        <v>91</v>
      </c>
      <c r="D20" s="17"/>
      <c r="E20" s="18"/>
      <c r="F20" s="164" t="s">
        <v>26</v>
      </c>
      <c r="G20" s="19"/>
      <c r="H20" s="20"/>
      <c r="I20">
        <f t="shared" si="1"/>
      </c>
      <c r="J20">
        <f t="shared" si="0"/>
      </c>
      <c r="K20" s="22">
        <f>IF(ISBLANK(Distance),"",Open_time Control_1+(INT(Open)&amp;":"&amp;IF(ROUND(((Open-INT(Open))*60),0)&lt;10,0,"")&amp;ROUND(((Open-INT(Open))*60),0)))</f>
      </c>
      <c r="L20" s="22">
        <f>IF(ISBLANK(Distance),"",Open_time Control_1+(INT(Close)&amp;":"&amp;IF(ROUND(((Close-INT(Close))*60),0)&lt;10,0,"")&amp;ROUND(((Close-INT(Close))*60),0)))</f>
      </c>
    </row>
    <row r="21" spans="3:12" ht="12">
      <c r="C21" s="2" t="s">
        <v>92</v>
      </c>
      <c r="D21" s="17"/>
      <c r="E21" s="18"/>
      <c r="F21" s="19"/>
      <c r="G21" s="19"/>
      <c r="H21" s="20"/>
      <c r="I21">
        <f t="shared" si="1"/>
      </c>
      <c r="J21">
        <f t="shared" si="0"/>
      </c>
      <c r="K21" s="22">
        <f>IF(ISBLANK(Distance),"",Open_time Control_1+(INT(Open)&amp;":"&amp;IF(ROUND(((Open-INT(Open))*60),0)&lt;10,0,"")&amp;ROUND(((Open-INT(Open))*60),0)))</f>
      </c>
      <c r="L21" s="22">
        <f>IF(ISBLANK(Distance),"",Open_time Control_1+(INT(Close)&amp;":"&amp;IF(ROUND(((Close-INT(Close))*60),0)&lt;10,0,"")&amp;ROUND(((Close-INT(Close))*60),0)))</f>
      </c>
    </row>
    <row r="22" spans="3:12" ht="12">
      <c r="C22" s="2" t="s">
        <v>93</v>
      </c>
      <c r="D22" s="17"/>
      <c r="E22" s="18"/>
      <c r="F22" s="19"/>
      <c r="G22" s="19"/>
      <c r="H22" s="20"/>
      <c r="I22">
        <f t="shared" si="1"/>
      </c>
      <c r="J22">
        <f t="shared" si="0"/>
      </c>
      <c r="K22" s="22">
        <f>IF(ISBLANK(Distance),"",Open_time Control_1+(INT(Open)&amp;":"&amp;IF(ROUND(((Open-INT(Open))*60),0)&lt;10,0,"")&amp;ROUND(((Open-INT(Open))*60),0)))</f>
      </c>
      <c r="L22" s="22">
        <f>IF(ISBLANK(Distance),"",Open_time Control_1+(INT(Close)&amp;":"&amp;IF(ROUND(((Close-INT(Close))*60),0)&lt;10,0,"")&amp;ROUND(((Close-INT(Close))*60),0)))</f>
      </c>
    </row>
    <row r="23" spans="3:12" ht="12">
      <c r="C23" s="2" t="s">
        <v>94</v>
      </c>
      <c r="D23" s="17"/>
      <c r="E23" s="18"/>
      <c r="F23" s="19"/>
      <c r="G23" s="19"/>
      <c r="H23" s="20"/>
      <c r="I23">
        <f t="shared" si="1"/>
      </c>
      <c r="J23">
        <f t="shared" si="0"/>
      </c>
      <c r="K23" s="22">
        <f>IF(ISBLANK(Distance),"",Open_time Control_1+(INT(Open)&amp;":"&amp;IF(ROUND(((Open-INT(Open))*60),0)&lt;10,0,"")&amp;ROUND(((Open-INT(Open))*60),0)))</f>
      </c>
      <c r="L23" s="22">
        <f>IF(ISBLANK(Distance),"",Open_time Control_1+(INT(Close)&amp;":"&amp;IF(ROUND(((Close-INT(Close))*60),0)&lt;10,0,"")&amp;ROUND(((Close-INT(Close))*60),0)))</f>
      </c>
    </row>
    <row r="24" spans="3:12" ht="12">
      <c r="C24" s="2" t="s">
        <v>95</v>
      </c>
      <c r="D24" s="17"/>
      <c r="E24" s="18"/>
      <c r="F24" s="19"/>
      <c r="G24" s="19"/>
      <c r="H24" s="20"/>
      <c r="I24">
        <f t="shared" si="1"/>
      </c>
      <c r="J24">
        <f t="shared" si="0"/>
      </c>
      <c r="K24" s="22">
        <f>IF(ISBLANK(Distance),"",Open_time Control_1+(INT(Open)&amp;":"&amp;IF(ROUND(((Open-INT(Open))*60),0)&lt;10,0,"")&amp;ROUND(((Open-INT(Open))*60),0)))</f>
      </c>
      <c r="L24" s="22">
        <f>IF(ISBLANK(Distance),"",Open_time Control_1+(INT(Close)&amp;":"&amp;IF(ROUND(((Close-INT(Close))*60),0)&lt;10,0,"")&amp;ROUND(((Close-INT(Close))*60),0)))</f>
      </c>
    </row>
    <row r="25" spans="3:12" ht="12">
      <c r="C25" s="2" t="s">
        <v>96</v>
      </c>
      <c r="D25" s="17"/>
      <c r="E25" s="18"/>
      <c r="F25" s="19"/>
      <c r="G25" s="19"/>
      <c r="H25" s="20"/>
      <c r="I25">
        <f t="shared" si="1"/>
      </c>
      <c r="J25">
        <f t="shared" si="0"/>
      </c>
      <c r="K25" s="22">
        <f>IF(ISBLANK(Distance),"",Open_time Control_1+(INT(Open)&amp;":"&amp;IF(ROUND(((Open-INT(Open))*60),0)&lt;10,0,"")&amp;ROUND(((Open-INT(Open))*60),0)))</f>
      </c>
      <c r="L25" s="22">
        <f>IF(ISBLANK(Distance),"",Open_time Control_1+(INT(Close)&amp;":"&amp;IF(ROUND(((Close-INT(Close))*60),0)&lt;10,0,"")&amp;ROUND(((Close-INT(Close))*60),0)))</f>
      </c>
    </row>
    <row r="26" spans="3:12" ht="12">
      <c r="C26" s="2" t="s">
        <v>97</v>
      </c>
      <c r="D26" s="17"/>
      <c r="E26" s="18"/>
      <c r="F26" s="19"/>
      <c r="G26" s="19"/>
      <c r="H26" s="20"/>
      <c r="I26">
        <f t="shared" si="1"/>
      </c>
      <c r="J26">
        <f t="shared" si="0"/>
      </c>
      <c r="K26" s="22">
        <f>IF(ISBLANK(Distance),"",Open_time Control_1+(INT(Open)&amp;":"&amp;IF(ROUND(((Open-INT(Open))*60),0)&lt;10,0,"")&amp;ROUND(((Open-INT(Open))*60),0)))</f>
      </c>
      <c r="L26" s="22">
        <f>IF(ISBLANK(Distance),"",Open_time Control_1+(INT(Close)&amp;":"&amp;IF(ROUND(((Close-INT(Close))*60),0)&lt;10,0,"")&amp;ROUND(((Close-INT(Close))*60),0)))</f>
      </c>
    </row>
    <row r="27" spans="3:12" ht="12">
      <c r="C27" s="2" t="s">
        <v>98</v>
      </c>
      <c r="D27" s="17"/>
      <c r="E27" s="18"/>
      <c r="F27" s="19"/>
      <c r="G27" s="19"/>
      <c r="H27" s="20"/>
      <c r="I27">
        <f t="shared" si="1"/>
      </c>
      <c r="J27">
        <f t="shared" si="0"/>
      </c>
      <c r="K27" s="22">
        <f>IF(ISBLANK(Distance),"",Open_time Control_1+(INT(Open)&amp;":"&amp;IF(ROUND(((Open-INT(Open))*60),0)&lt;10,0,"")&amp;ROUND(((Open-INT(Open))*60),0)))</f>
      </c>
      <c r="L27" s="22">
        <f>IF(ISBLANK(Distance),"",Open_time Control_1+(INT(Close)&amp;":"&amp;IF(ROUND(((Close-INT(Close))*60),0)&lt;10,0,"")&amp;ROUND(((Close-INT(Close))*60),0)))</f>
      </c>
    </row>
    <row r="28" spans="3:12" ht="12">
      <c r="C28" s="2" t="s">
        <v>99</v>
      </c>
      <c r="D28" s="17"/>
      <c r="E28" s="18"/>
      <c r="F28" s="19"/>
      <c r="G28" s="19"/>
      <c r="H28" s="20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2">
        <f>IF(ISBLANK(Distance),"",Open_time Control_1+(INT(Open)&amp;":"&amp;IF(ROUND(((Open-INT(Open))*60),0)&lt;10,0,"")&amp;ROUND(((Open-INT(Open))*60),0)))</f>
      </c>
      <c r="L28" s="22">
        <f>IF(ISBLANK(Distance),"",Open_time Control_1+(INT(Close)&amp;":"&amp;IF(ROUND(((Close-INT(Close))*60),0)&lt;10,0,"")&amp;ROUND(((Close-INT(Close))*60),0)))</f>
      </c>
    </row>
    <row r="29" spans="3:12" ht="12">
      <c r="C29" s="2" t="s">
        <v>100</v>
      </c>
      <c r="D29" s="23"/>
      <c r="E29" s="24"/>
      <c r="F29" s="25"/>
      <c r="G29" s="25"/>
      <c r="H29" s="26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2">
        <f>IF(ISBLANK(Distance),"",Open_time Control_1+(INT(Open)&amp;":"&amp;IF(ROUND(((Open-INT(Open))*60),0)&lt;10,0,"")&amp;ROUND(((Open-INT(Open))*60),0)))</f>
      </c>
      <c r="L29" s="22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showGridLines="0" workbookViewId="0" topLeftCell="B11">
      <selection activeCell="Z19" sqref="Z19"/>
    </sheetView>
  </sheetViews>
  <sheetFormatPr defaultColWidth="8.8515625" defaultRowHeight="12.75"/>
  <cols>
    <col min="1" max="1" width="9.28125" style="27" customWidth="1"/>
    <col min="2" max="3" width="12.7109375" style="0" customWidth="1"/>
    <col min="4" max="4" width="19.28125" style="0" customWidth="1"/>
    <col min="5" max="5" width="24.421875" style="0" customWidth="1"/>
    <col min="6" max="6" width="42.7109375" style="0" customWidth="1"/>
    <col min="7" max="7" width="13.421875" style="0" customWidth="1"/>
    <col min="8" max="8" width="7.00390625" style="28" customWidth="1"/>
    <col min="9" max="9" width="8.7109375" style="0" customWidth="1"/>
  </cols>
  <sheetData>
    <row r="1" spans="1:8" ht="18">
      <c r="A1" s="173" t="s">
        <v>101</v>
      </c>
      <c r="B1" s="173"/>
      <c r="C1" s="173"/>
      <c r="D1" s="173"/>
      <c r="E1" s="173"/>
      <c r="F1" s="173"/>
      <c r="G1" s="173"/>
      <c r="H1" s="9" t="s">
        <v>102</v>
      </c>
    </row>
    <row r="2" spans="1:14" ht="33.75" customHeight="1">
      <c r="A2" s="29" t="s">
        <v>103</v>
      </c>
      <c r="B2" s="30" t="s">
        <v>64</v>
      </c>
      <c r="C2" s="30" t="s">
        <v>65</v>
      </c>
      <c r="D2" s="30" t="s">
        <v>60</v>
      </c>
      <c r="E2" s="30" t="s">
        <v>104</v>
      </c>
      <c r="F2" s="30" t="s">
        <v>105</v>
      </c>
      <c r="G2" s="29" t="s">
        <v>106</v>
      </c>
      <c r="H2" s="9" t="s">
        <v>102</v>
      </c>
      <c r="N2" s="31"/>
    </row>
    <row r="3" spans="1:14" ht="36" customHeight="1">
      <c r="A3" s="32"/>
      <c r="B3" s="33">
        <f>Control_1 Open_time</f>
        <v>0.25</v>
      </c>
      <c r="C3" s="33">
        <f>Control_1 Close_time</f>
        <v>0.2916666666666667</v>
      </c>
      <c r="D3" s="34"/>
      <c r="E3" s="35" t="str">
        <f>IF(ISBLANK(Control_1 Establishment_1),"",Control_1 Establishment_1)</f>
        <v>Tim Horton's</v>
      </c>
      <c r="F3" s="36"/>
      <c r="G3" s="37"/>
      <c r="H3" s="9" t="s">
        <v>102</v>
      </c>
      <c r="K3" s="38"/>
      <c r="N3" s="31"/>
    </row>
    <row r="4" spans="1:14" ht="36" customHeight="1">
      <c r="A4" s="39">
        <f>IF(ISBLANK(Distance Control_1),"",Control_1 Distance)</f>
        <v>0</v>
      </c>
      <c r="B4" s="40">
        <f>Control_1 Open_time</f>
        <v>0.25</v>
      </c>
      <c r="C4" s="40">
        <f>Control_1 Close_time</f>
        <v>0.2916666666666667</v>
      </c>
      <c r="D4" s="41" t="str">
        <f>IF(ISBLANK(Locale Control_1),"",Locale Control_1)</f>
        <v>NANAIMO</v>
      </c>
      <c r="E4" s="35" t="str">
        <f>IF(ISBLANK(Control_1 Establishment_2),"",Control_1 Establishment_2)</f>
        <v>Southgate Mall</v>
      </c>
      <c r="F4" s="36"/>
      <c r="G4" s="37"/>
      <c r="H4" s="9" t="s">
        <v>102</v>
      </c>
      <c r="K4" s="38"/>
      <c r="N4" s="31"/>
    </row>
    <row r="5" spans="1:11" ht="36" customHeight="1">
      <c r="A5" s="42"/>
      <c r="B5" s="43">
        <f>Control_1 Open_time</f>
        <v>0.25</v>
      </c>
      <c r="C5" s="43">
        <f>Control_1 Close_time</f>
        <v>0.2916666666666667</v>
      </c>
      <c r="D5" s="44"/>
      <c r="E5" s="45" t="str">
        <f>IF(ISBLANK(Control_1 Establishment_3),"",Control_1 Establishment_3)</f>
        <v>Tenth@Lawlor</v>
      </c>
      <c r="F5" s="46"/>
      <c r="G5" s="47"/>
      <c r="H5" s="9" t="s">
        <v>102</v>
      </c>
      <c r="K5" s="38"/>
    </row>
    <row r="6" spans="1:11" ht="36" customHeight="1">
      <c r="A6" s="32"/>
      <c r="B6" s="33">
        <f>Control_2 Open_time</f>
        <v>0.3055555555555556</v>
      </c>
      <c r="C6" s="33">
        <f>Control_2 Close_time</f>
        <v>0.375</v>
      </c>
      <c r="D6" s="48"/>
      <c r="E6" s="35" t="str">
        <f>IF(ISBLANK(Control_2 Establishment_1),"",Control_2 Establishment_1)</f>
        <v>Tim Horton's</v>
      </c>
      <c r="F6" s="36"/>
      <c r="G6" s="37"/>
      <c r="H6" s="9" t="s">
        <v>102</v>
      </c>
      <c r="K6" s="38"/>
    </row>
    <row r="7" spans="1:11" ht="36" customHeight="1">
      <c r="A7" s="39">
        <f>IF(ISBLANK(Distance Control_2),"",Control_2 Distance)</f>
        <v>45.099999999999994</v>
      </c>
      <c r="B7" s="40">
        <f>Control_2 Open_time</f>
        <v>0.3055555555555556</v>
      </c>
      <c r="C7" s="40">
        <f>Control_2 Close_time</f>
        <v>0.375</v>
      </c>
      <c r="D7" s="41" t="str">
        <f>IF(ISBLANK(Locale Control_2),"",Locale Control_2)</f>
        <v>DUNCAN</v>
      </c>
      <c r="E7" s="35" t="str">
        <f>IF(ISBLANK(Control_2 Establishment_2),"",Control_2 Establishment_2)</f>
        <v>Highway #1</v>
      </c>
      <c r="F7" s="36"/>
      <c r="G7" s="37"/>
      <c r="H7" s="9" t="s">
        <v>102</v>
      </c>
      <c r="K7" s="38"/>
    </row>
    <row r="8" spans="1:20" ht="36" customHeight="1">
      <c r="A8" s="42"/>
      <c r="B8" s="43">
        <f>Control_2 Open_time</f>
        <v>0.3055555555555556</v>
      </c>
      <c r="C8" s="43">
        <f>Control_2 Close_time</f>
        <v>0.375</v>
      </c>
      <c r="D8" s="44"/>
      <c r="E8" s="45">
        <f>IF(ISBLANK(Control_2 Establishment_3),"",Control_2 Establishment_3)</f>
      </c>
      <c r="F8" s="46"/>
      <c r="G8" s="47"/>
      <c r="H8" s="9" t="s">
        <v>102</v>
      </c>
      <c r="J8" s="174" t="s">
        <v>107</v>
      </c>
      <c r="K8" s="174"/>
      <c r="L8" s="174"/>
      <c r="M8" s="174"/>
      <c r="N8" s="174"/>
      <c r="O8" s="174"/>
      <c r="P8" s="174"/>
      <c r="Q8" s="174"/>
      <c r="R8" s="174"/>
      <c r="S8" s="174"/>
      <c r="T8" s="174"/>
    </row>
    <row r="9" spans="1:19" ht="36" customHeight="1">
      <c r="A9" s="32"/>
      <c r="B9" s="33">
        <f>Control_3 Open_time</f>
        <v>0.42361111111111116</v>
      </c>
      <c r="C9" s="33">
        <f>Control_3 Close_time</f>
        <v>0.6430555555555555</v>
      </c>
      <c r="D9" s="48"/>
      <c r="E9" s="35" t="str">
        <f>IF(ISBLANK(Control_3 Establishment_1),"",Control_3 Establishment_1)</f>
        <v>Shell Gas</v>
      </c>
      <c r="F9" s="36"/>
      <c r="G9" s="37"/>
      <c r="H9" s="9" t="s">
        <v>102</v>
      </c>
      <c r="J9" s="175" t="str">
        <f>IF(ISBLANK(brevet),"",brevet&amp;" km Randonnée")</f>
        <v>300 km Randonnée</v>
      </c>
      <c r="K9" s="175"/>
      <c r="L9" s="175"/>
      <c r="M9" s="175"/>
      <c r="N9" s="175"/>
      <c r="O9" s="175"/>
      <c r="P9" s="175"/>
      <c r="Q9" s="175"/>
      <c r="R9" s="175"/>
      <c r="S9" s="175"/>
    </row>
    <row r="10" spans="1:20" ht="36" customHeight="1">
      <c r="A10" s="39">
        <f>IF(ISBLANK(Distance Control_3),"",Control_3 Distance)</f>
        <v>141.5</v>
      </c>
      <c r="B10" s="40">
        <f>Control_3 Open_time</f>
        <v>0.42361111111111116</v>
      </c>
      <c r="C10" s="40">
        <f>Control_3 Close_time</f>
        <v>0.6430555555555555</v>
      </c>
      <c r="D10" s="41" t="str">
        <f>IF(ISBLANK(Locale Control_3),"",Locale Control_3)</f>
        <v>QUALICUM BEACH</v>
      </c>
      <c r="E10" s="35" t="str">
        <f>IF(ISBLANK(Control_3 Establishment_2),"",Control_3 Establishment_2)</f>
        <v>Highway #19A @</v>
      </c>
      <c r="F10" s="36"/>
      <c r="G10" s="37"/>
      <c r="H10" s="9" t="s">
        <v>102</v>
      </c>
      <c r="J10" s="176" t="str">
        <f>IF(ISBLANK(Brevet_Description),"",Brevet_Description)</f>
        <v>Duncan - Royston (Nanaimo start)</v>
      </c>
      <c r="K10" s="176"/>
      <c r="L10" s="176"/>
      <c r="M10" s="176"/>
      <c r="N10" s="176"/>
      <c r="O10" s="176"/>
      <c r="P10" s="176"/>
      <c r="Q10" s="176"/>
      <c r="R10" s="176"/>
      <c r="S10" s="176"/>
      <c r="T10" s="176"/>
    </row>
    <row r="11" spans="1:20" ht="36" customHeight="1">
      <c r="A11" s="42"/>
      <c r="B11" s="43">
        <f>Control_3 Open_time</f>
        <v>0.42361111111111116</v>
      </c>
      <c r="C11" s="43">
        <f>Control_3 Close_time</f>
        <v>0.6430555555555555</v>
      </c>
      <c r="D11" s="44"/>
      <c r="E11" s="45" t="str">
        <f>IF(ISBLANK(Control_3 Establishment_3),"",Control_3 Establishment_3)</f>
        <v>Memorial</v>
      </c>
      <c r="F11" s="46"/>
      <c r="G11" s="47"/>
      <c r="H11" s="9" t="s">
        <v>102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36" customHeight="1">
      <c r="A12" s="32"/>
      <c r="B12" s="33">
        <f>Control_4 Open_time</f>
        <v>0.49097222222222225</v>
      </c>
      <c r="C12" s="33">
        <f>Control_4 Close_time</f>
        <v>0.7972222222222222</v>
      </c>
      <c r="D12" s="48"/>
      <c r="E12" s="35" t="str">
        <f>IF(ISBLANK(Control_4 Establishment_1),"",Control_4 Establishment_1)</f>
        <v>Esso Gas</v>
      </c>
      <c r="F12" s="36"/>
      <c r="G12" s="37"/>
      <c r="H12" s="9" t="s">
        <v>102</v>
      </c>
      <c r="J12" s="50" t="s">
        <v>108</v>
      </c>
      <c r="L12" s="51" t="str">
        <f>IF(ISBLANK(surname),"",First_Name&amp;" "&amp;Initial&amp;" "&amp;surname)</f>
        <v>  </v>
      </c>
      <c r="M12" s="52"/>
      <c r="N12" s="52"/>
      <c r="O12" s="52"/>
      <c r="P12" s="52"/>
      <c r="Q12" s="52"/>
      <c r="R12" s="52"/>
      <c r="S12" s="52"/>
      <c r="T12" s="53"/>
    </row>
    <row r="13" spans="1:20" ht="36" customHeight="1">
      <c r="A13" s="39">
        <f>IF(ISBLANK(Distance Control_4),"",Control_4 Distance)</f>
        <v>196.9</v>
      </c>
      <c r="B13" s="40">
        <f>Control_4 Open_time</f>
        <v>0.49097222222222225</v>
      </c>
      <c r="C13" s="40">
        <f>Control_4 Close_time</f>
        <v>0.7972222222222222</v>
      </c>
      <c r="D13" s="41" t="str">
        <f>IF(ISBLANK(Locale Control_4),"",Locale Control_4)</f>
        <v>ROYSTON</v>
      </c>
      <c r="E13" s="35" t="str">
        <f>IF(ISBLANK(Control_4 Establishment_2),"",Control_4 Establishment_2)</f>
        <v>Highway #19A @</v>
      </c>
      <c r="F13" s="36"/>
      <c r="G13" s="37"/>
      <c r="H13" s="9" t="s">
        <v>102</v>
      </c>
      <c r="J13" s="50" t="s">
        <v>109</v>
      </c>
      <c r="K13" s="50"/>
      <c r="L13" s="54">
        <f>IF(ISBLANK(Address_1),"",Address_1)</f>
      </c>
      <c r="M13" s="55"/>
      <c r="N13" s="55"/>
      <c r="O13" s="55"/>
      <c r="P13" s="55"/>
      <c r="Q13" s="55"/>
      <c r="R13" s="55"/>
      <c r="S13" s="55"/>
      <c r="T13" s="56"/>
    </row>
    <row r="14" spans="1:20" ht="36" customHeight="1">
      <c r="A14" s="42"/>
      <c r="B14" s="43">
        <f>Control_4 Open_time</f>
        <v>0.49097222222222225</v>
      </c>
      <c r="C14" s="43">
        <f>Control_4 Close_time</f>
        <v>0.7972222222222222</v>
      </c>
      <c r="D14" s="44"/>
      <c r="E14" s="45" t="str">
        <f>IF(ISBLANK(Control_4 Establishment_3),"",Control_4 Establishment_3)</f>
        <v>Cumberland</v>
      </c>
      <c r="F14" s="46"/>
      <c r="G14" s="47"/>
      <c r="H14" s="9" t="s">
        <v>102</v>
      </c>
      <c r="J14" s="50"/>
      <c r="K14" s="50"/>
      <c r="L14" s="54">
        <f>IF(ISBLANK(Address_2),"",Address_2)</f>
      </c>
      <c r="M14" s="55"/>
      <c r="N14" s="55"/>
      <c r="O14" s="55"/>
      <c r="P14" s="55"/>
      <c r="Q14" s="55"/>
      <c r="R14" s="55"/>
      <c r="S14" s="55"/>
      <c r="T14" s="56"/>
    </row>
    <row r="15" spans="1:20" ht="36" customHeight="1">
      <c r="A15" s="32"/>
      <c r="B15" s="33">
        <f>Control_5 Open_time</f>
        <v>0.5631944444444444</v>
      </c>
      <c r="C15" s="33">
        <f>Control_5 Close_time</f>
        <v>0.9506944444444444</v>
      </c>
      <c r="D15" s="48"/>
      <c r="E15" s="35" t="str">
        <f>IF(ISBLANK(Control_5 Establishment_1),"",Control_5 Establishment_1)</f>
        <v>Shell Gas</v>
      </c>
      <c r="F15" s="36"/>
      <c r="G15" s="37"/>
      <c r="H15" s="9" t="s">
        <v>102</v>
      </c>
      <c r="J15" s="50" t="s">
        <v>110</v>
      </c>
      <c r="K15" s="50"/>
      <c r="L15" s="54">
        <f>IF(ISBLANK(City),"",City)</f>
      </c>
      <c r="M15" s="55"/>
      <c r="N15" s="55"/>
      <c r="O15" s="57"/>
      <c r="P15" s="57" t="s">
        <v>111</v>
      </c>
      <c r="Q15" s="57"/>
      <c r="R15" s="57"/>
      <c r="S15" s="54">
        <f>IF(ISBLANK(Province_State),"",Province_State)</f>
      </c>
      <c r="T15" s="56"/>
    </row>
    <row r="16" spans="1:20" ht="36" customHeight="1">
      <c r="A16" s="39">
        <f>IF(ISBLANK(Distance Control_5),"",Control_5 Distance)</f>
        <v>252.3</v>
      </c>
      <c r="B16" s="40">
        <f>Control_5 Open_time</f>
        <v>0.5631944444444444</v>
      </c>
      <c r="C16" s="40">
        <f>Control_5 Close_time</f>
        <v>0.9506944444444444</v>
      </c>
      <c r="D16" s="41" t="str">
        <f>IF(ISBLANK(Locale Control_5),"",Locale Control_5)</f>
        <v>QUALICUM BEACH</v>
      </c>
      <c r="E16" s="35" t="str">
        <f>IF(ISBLANK(Control_5 Establishment_2),"",Control_5 Establishment_2)</f>
        <v>Highway #19A @</v>
      </c>
      <c r="F16" s="36"/>
      <c r="G16" s="37"/>
      <c r="H16" s="9" t="s">
        <v>102</v>
      </c>
      <c r="J16" s="50" t="s">
        <v>112</v>
      </c>
      <c r="K16" s="50"/>
      <c r="L16" s="54">
        <f>IF(ISBLANK(Country),"",Country)</f>
      </c>
      <c r="M16" s="55"/>
      <c r="N16" s="55"/>
      <c r="O16" s="57"/>
      <c r="P16" s="57" t="s">
        <v>113</v>
      </c>
      <c r="Q16" s="57"/>
      <c r="R16" s="57"/>
      <c r="S16" s="54">
        <f>IF(ISBLANK(Postal_Code),"",Postal_Code)</f>
      </c>
      <c r="T16" s="56"/>
    </row>
    <row r="17" spans="1:19" ht="36" customHeight="1">
      <c r="A17" s="42"/>
      <c r="B17" s="43">
        <f>Control_5 Open_time</f>
        <v>0.5631944444444444</v>
      </c>
      <c r="C17" s="43">
        <f>Control_5 Close_time</f>
        <v>0.9506944444444444</v>
      </c>
      <c r="D17" s="44"/>
      <c r="E17" s="45" t="str">
        <f>IF(ISBLANK(Control_5 Establishment_3),"",Control_5 Establishment_3)</f>
        <v>Memorial</v>
      </c>
      <c r="F17" s="46"/>
      <c r="G17" s="47"/>
      <c r="H17" s="9" t="s">
        <v>102</v>
      </c>
      <c r="L17" s="58"/>
      <c r="M17" s="58"/>
      <c r="N17" s="58"/>
      <c r="O17" s="58"/>
      <c r="P17" s="58"/>
      <c r="Q17" s="58"/>
      <c r="R17" s="58"/>
      <c r="S17" s="58"/>
    </row>
    <row r="18" spans="1:20" ht="36" customHeight="1">
      <c r="A18" s="32"/>
      <c r="B18" s="33">
        <f>Control_6 Open_time</f>
        <v>0.632638888888889</v>
      </c>
      <c r="C18" s="33">
        <f>Control_6 Close_time</f>
        <v>1.0833333333333335</v>
      </c>
      <c r="D18" s="48"/>
      <c r="E18" s="35" t="str">
        <f>IF(ISBLANK(Control_6 Establishment_1),"",Control_6 Establishment_1)</f>
        <v>Tim Horton's</v>
      </c>
      <c r="F18" s="36"/>
      <c r="G18" s="37"/>
      <c r="H18" s="9" t="s">
        <v>102</v>
      </c>
      <c r="J18" s="50" t="s">
        <v>114</v>
      </c>
      <c r="L18" s="177">
        <f>IF(ISBLANK(Home_telephone),"",Home_telephone)</f>
      </c>
      <c r="M18" s="177"/>
      <c r="N18" s="177"/>
      <c r="O18" s="58"/>
      <c r="P18" s="57" t="s">
        <v>115</v>
      </c>
      <c r="Q18" s="59">
        <f>IF(ISBLANK(email),"",email)</f>
      </c>
      <c r="R18" s="60"/>
      <c r="S18" s="60"/>
      <c r="T18" s="61"/>
    </row>
    <row r="19" spans="1:19" ht="36" customHeight="1">
      <c r="A19" s="39">
        <f>IF(ISBLANK(Distance Control_6),"",Control_6 Distance)</f>
        <v>305.3999999999999</v>
      </c>
      <c r="B19" s="40">
        <f>Control_6 Open_time</f>
        <v>0.632638888888889</v>
      </c>
      <c r="C19" s="40">
        <f>Control_6 Close_time</f>
        <v>1.0833333333333335</v>
      </c>
      <c r="D19" s="41" t="str">
        <f>IF(ISBLANK(Locale Control_6),"",Locale Control_6)</f>
        <v>NANAIMO</v>
      </c>
      <c r="E19" s="35" t="str">
        <f>IF(ISBLANK(Control_6 Establishment_2),"",Control_6 Establishment_2)</f>
        <v>Southgate Mall</v>
      </c>
      <c r="F19" s="36"/>
      <c r="G19" s="37"/>
      <c r="H19" s="9" t="s">
        <v>102</v>
      </c>
      <c r="L19" s="58"/>
      <c r="M19" s="58"/>
      <c r="N19" s="58"/>
      <c r="O19" s="58"/>
      <c r="P19" s="58"/>
      <c r="Q19" s="58"/>
      <c r="R19" s="58"/>
      <c r="S19" s="58"/>
    </row>
    <row r="20" spans="1:20" ht="36" customHeight="1">
      <c r="A20" s="42"/>
      <c r="B20" s="43">
        <f>Control_6 Open_time</f>
        <v>0.632638888888889</v>
      </c>
      <c r="C20" s="43">
        <f>Control_6 Close_time</f>
        <v>1.0833333333333335</v>
      </c>
      <c r="D20" s="44"/>
      <c r="E20" s="45" t="str">
        <f>IF(ISBLANK(Control_6 Establishment_3),"",Control_6 Establishment_3)</f>
        <v>Tenth@Lawlor</v>
      </c>
      <c r="F20" s="46"/>
      <c r="G20" s="47"/>
      <c r="H20" s="9" t="s">
        <v>102</v>
      </c>
      <c r="J20" s="168" t="s">
        <v>116</v>
      </c>
      <c r="K20" s="168"/>
      <c r="L20" s="168"/>
      <c r="M20" s="168"/>
      <c r="N20" s="168"/>
      <c r="O20" s="168"/>
      <c r="P20" s="168"/>
      <c r="Q20" s="168"/>
      <c r="R20" s="168"/>
      <c r="S20" s="168"/>
      <c r="T20" s="168"/>
    </row>
    <row r="21" spans="1:20" ht="36" customHeight="1">
      <c r="A21" s="32"/>
      <c r="B21" s="33">
        <f>Control_7 Open_time</f>
      </c>
      <c r="C21" s="33">
        <f>Control_7 Close_time</f>
      </c>
      <c r="D21" s="48"/>
      <c r="E21" s="35">
        <f>IF(ISBLANK(Control_7 Establishment_1),"",Control_7 Establishment_1)</f>
      </c>
      <c r="F21" s="36"/>
      <c r="G21" s="37"/>
      <c r="H21" s="9" t="s">
        <v>102</v>
      </c>
      <c r="J21" s="168" t="s">
        <v>117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/>
    </row>
    <row r="22" spans="1:19" ht="36" customHeight="1">
      <c r="A22" s="39">
        <f>IF(ISBLANK(Distance Control_7),"",Control_7 Distance)</f>
      </c>
      <c r="B22" s="40">
        <f>Control_7 Open_time</f>
      </c>
      <c r="C22" s="40">
        <f>Control_7 Close_time</f>
      </c>
      <c r="D22" s="41">
        <f>IF(ISBLANK(Locale Control_7),"",Locale Control_7)</f>
      </c>
      <c r="E22" s="35">
        <f>IF(ISBLANK(Control_7 Establishment_2),"",Control_7 Establishment_2)</f>
      </c>
      <c r="F22" s="36"/>
      <c r="G22" s="37"/>
      <c r="H22" s="9" t="s">
        <v>102</v>
      </c>
      <c r="L22" s="58"/>
      <c r="M22" s="58"/>
      <c r="N22" s="58"/>
      <c r="O22" s="58"/>
      <c r="P22" s="58"/>
      <c r="Q22" s="58"/>
      <c r="R22" s="58"/>
      <c r="S22" s="58"/>
    </row>
    <row r="23" spans="1:20" ht="36" customHeight="1">
      <c r="A23" s="42"/>
      <c r="B23" s="43">
        <f>Control_7 Open_time</f>
      </c>
      <c r="C23" s="43">
        <f>Control_7 Close_time</f>
      </c>
      <c r="D23" s="44"/>
      <c r="E23" s="45">
        <f>IF(ISBLANK(Control_7 Establishment_3),"",Control_7 Establishment_3)</f>
      </c>
      <c r="F23" s="46"/>
      <c r="G23" s="47"/>
      <c r="H23" s="9" t="s">
        <v>102</v>
      </c>
      <c r="J23" s="169" t="s">
        <v>118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</row>
    <row r="24" spans="1:20" ht="36" customHeight="1">
      <c r="A24" s="32"/>
      <c r="B24" s="33">
        <f>Control_8 Open_time</f>
      </c>
      <c r="C24" s="33">
        <f>Control_8 Close_time</f>
      </c>
      <c r="D24" s="48"/>
      <c r="E24" s="35">
        <f>IF(ISBLANK(Control_8 Establishment_1),"",Control_8 Establishment_1)</f>
      </c>
      <c r="F24" s="36"/>
      <c r="G24" s="37"/>
      <c r="H24" s="9" t="s">
        <v>102</v>
      </c>
      <c r="J24" s="50" t="s">
        <v>119</v>
      </c>
      <c r="K24" s="170">
        <f>IF(ISBLANK(Start_date),"",Start_date)</f>
      </c>
      <c r="L24" s="170"/>
      <c r="M24" s="170"/>
      <c r="N24" s="58"/>
      <c r="O24" s="57" t="s">
        <v>120</v>
      </c>
      <c r="P24" s="58"/>
      <c r="Q24" s="165">
        <v>0.25</v>
      </c>
      <c r="R24" s="60"/>
      <c r="S24" s="60"/>
      <c r="T24" s="62"/>
    </row>
    <row r="25" spans="1:20" ht="36" customHeight="1">
      <c r="A25" s="39">
        <f>IF(ISBLANK(Distance Control_8),"",Control_8 Distance)</f>
      </c>
      <c r="B25" s="40">
        <f>Control_8 Open_time</f>
      </c>
      <c r="C25" s="40">
        <f>Control_8 Close_time</f>
      </c>
      <c r="D25" s="41">
        <f>IF(ISBLANK(Locale Control_8),"",Locale Control_8)</f>
      </c>
      <c r="E25" s="35">
        <f>IF(ISBLANK(Control_8 Establishment_2),"",Control_8 Establishment_2)</f>
      </c>
      <c r="F25" s="36"/>
      <c r="G25" s="37"/>
      <c r="H25" s="9" t="s">
        <v>102</v>
      </c>
      <c r="L25" s="58"/>
      <c r="M25" s="58"/>
      <c r="N25" s="58"/>
      <c r="O25" s="57" t="s">
        <v>121</v>
      </c>
      <c r="P25" s="58"/>
      <c r="Q25" s="60"/>
      <c r="R25" s="60"/>
      <c r="S25" s="60"/>
      <c r="T25" s="62"/>
    </row>
    <row r="26" spans="1:20" ht="36" customHeight="1">
      <c r="A26" s="42"/>
      <c r="B26" s="43">
        <f>Control_8 Open_time</f>
      </c>
      <c r="C26" s="43">
        <f>Control_8 Close_time</f>
      </c>
      <c r="D26" s="44"/>
      <c r="E26" s="45">
        <f>IF(ISBLANK(Control_8 Establishment_3),"",Control_8 Establishment_3)</f>
      </c>
      <c r="F26" s="46"/>
      <c r="G26" s="47"/>
      <c r="H26" s="9" t="s">
        <v>102</v>
      </c>
      <c r="J26" s="62"/>
      <c r="K26" s="62"/>
      <c r="L26" s="60"/>
      <c r="M26" s="60"/>
      <c r="N26" s="58"/>
      <c r="O26" s="57" t="s">
        <v>122</v>
      </c>
      <c r="P26" s="58"/>
      <c r="Q26" s="60"/>
      <c r="R26" s="60"/>
      <c r="S26" s="60"/>
      <c r="T26" s="62"/>
    </row>
    <row r="27" spans="1:19" ht="36" customHeight="1">
      <c r="A27" s="32"/>
      <c r="B27" s="33">
        <f>Control_9 Open_time</f>
      </c>
      <c r="C27" s="33">
        <f>Control_9 Close_time</f>
      </c>
      <c r="D27" s="48"/>
      <c r="E27" s="35">
        <f>IF(ISBLANK(Control_9 Establishment_1),"",Control_9 Establishment_1)</f>
      </c>
      <c r="F27" s="36"/>
      <c r="G27" s="37"/>
      <c r="H27" s="9" t="s">
        <v>102</v>
      </c>
      <c r="J27" s="171" t="s">
        <v>0</v>
      </c>
      <c r="K27" s="171"/>
      <c r="L27" s="171"/>
      <c r="M27" s="171"/>
      <c r="N27" s="58"/>
      <c r="O27" s="58"/>
      <c r="P27" s="58"/>
      <c r="Q27" s="58"/>
      <c r="R27" s="58"/>
      <c r="S27" s="58"/>
    </row>
    <row r="28" spans="1:19" ht="36" customHeight="1">
      <c r="A28" s="39">
        <f>IF(ISBLANK(Distance Control_9),"",Control_9 Distance)</f>
      </c>
      <c r="B28" s="40">
        <f>Control_9 Open_time</f>
      </c>
      <c r="C28" s="40">
        <f>Control_9 Close_time</f>
      </c>
      <c r="D28" s="41" t="str">
        <f>IF(ISBLANK(Locale Control_9),"",Locale Control_9)</f>
        <v>SECRET</v>
      </c>
      <c r="E28" s="35">
        <f>IF(ISBLANK(Control_9 Establishment_2),"",Control_9 Establishment_2)</f>
      </c>
      <c r="F28" s="36"/>
      <c r="G28" s="37"/>
      <c r="H28" s="9" t="s">
        <v>102</v>
      </c>
      <c r="L28" s="172" t="s">
        <v>1</v>
      </c>
      <c r="M28" s="172"/>
      <c r="N28" s="172"/>
      <c r="O28" s="172"/>
      <c r="P28" s="172"/>
      <c r="Q28" s="172"/>
      <c r="R28" s="58"/>
      <c r="S28" s="58"/>
    </row>
    <row r="29" spans="1:19" ht="36" customHeight="1">
      <c r="A29" s="42"/>
      <c r="B29" s="43">
        <f>Control_9 Open_time</f>
      </c>
      <c r="C29" s="43">
        <f>Control_9 Close_time</f>
      </c>
      <c r="D29" s="44"/>
      <c r="E29" s="45">
        <f>IF(ISBLANK(Control_9 Establishment_3),"",Control_9 Establishment_3)</f>
      </c>
      <c r="F29" s="46"/>
      <c r="G29" s="47"/>
      <c r="H29" s="9" t="s">
        <v>102</v>
      </c>
      <c r="K29" s="63"/>
      <c r="L29" s="64"/>
      <c r="M29" s="64"/>
      <c r="N29" s="65"/>
      <c r="O29" s="66"/>
      <c r="P29" s="64"/>
      <c r="Q29" s="64"/>
      <c r="R29" s="65"/>
      <c r="S29" s="67" t="s">
        <v>2</v>
      </c>
    </row>
    <row r="30" spans="1:19" ht="36" customHeight="1">
      <c r="A30" s="32"/>
      <c r="B30" s="33">
        <f>Control_10 Open_time</f>
      </c>
      <c r="C30" s="33">
        <f>Control_10 Close_time</f>
      </c>
      <c r="D30" s="48"/>
      <c r="E30" s="35">
        <f>IF(ISBLANK(Control_10 Establishment_1),"",Control_10 Establishment_1)</f>
      </c>
      <c r="F30" s="36"/>
      <c r="G30" s="37"/>
      <c r="H30" s="9" t="s">
        <v>102</v>
      </c>
      <c r="K30" s="68"/>
      <c r="L30" s="69"/>
      <c r="M30" s="69"/>
      <c r="N30" s="70"/>
      <c r="O30" s="71"/>
      <c r="P30" s="69"/>
      <c r="Q30" s="69"/>
      <c r="R30" s="70"/>
      <c r="S30" s="72" t="s">
        <v>3</v>
      </c>
    </row>
    <row r="31" spans="1:21" ht="36" customHeight="1">
      <c r="A31" s="39">
        <f>IF(ISBLANK(Distance Control_10),"",Control_10 Distance)</f>
      </c>
      <c r="B31" s="40">
        <f>Control_10 Open_time</f>
      </c>
      <c r="C31" s="40">
        <f>Control_10 Close_time</f>
      </c>
      <c r="D31" s="41" t="str">
        <f>IF(ISBLANK(Locale Control_10),"",Locale Control_10)</f>
        <v>SECRET</v>
      </c>
      <c r="E31" s="35">
        <f>IF(ISBLANK(Control_10 Establishment_2),"",Control_10 Establishment_2)</f>
      </c>
      <c r="F31" s="36"/>
      <c r="G31" s="37"/>
      <c r="H31" s="9" t="s">
        <v>102</v>
      </c>
      <c r="K31" s="73"/>
      <c r="L31" s="60"/>
      <c r="M31" s="60"/>
      <c r="N31" s="74"/>
      <c r="O31" s="75"/>
      <c r="P31" s="60"/>
      <c r="Q31" s="60"/>
      <c r="R31" s="74"/>
      <c r="S31" s="58"/>
      <c r="U31" s="76"/>
    </row>
    <row r="32" spans="1:21" ht="36" customHeight="1">
      <c r="A32" s="42"/>
      <c r="B32" s="43">
        <f>Control_10 Open_time</f>
      </c>
      <c r="C32" s="43">
        <f>Control_10 Close_time</f>
      </c>
      <c r="D32" s="44"/>
      <c r="E32" s="45">
        <f>IF(ISBLANK(Control_10 Establishment_3),"",Control_10 Establishment_3)</f>
      </c>
      <c r="F32" s="46"/>
      <c r="G32" s="47"/>
      <c r="H32" s="9" t="s">
        <v>102</v>
      </c>
      <c r="L32" s="57" t="s">
        <v>4</v>
      </c>
      <c r="M32" s="58"/>
      <c r="N32" s="55" t="str">
        <f>IF(ISBLANK(Brevet_Number),"",Brevet_Number)</f>
        <v>VI0304A</v>
      </c>
      <c r="O32" s="55"/>
      <c r="P32" s="55"/>
      <c r="Q32" s="58"/>
      <c r="R32" s="58"/>
      <c r="S32" s="58"/>
      <c r="U32" s="76"/>
    </row>
    <row r="33" ht="36" customHeight="1">
      <c r="A33"/>
    </row>
    <row r="34" ht="36" customHeight="1">
      <c r="A34"/>
    </row>
    <row r="35" ht="36" customHeight="1">
      <c r="A35"/>
    </row>
    <row r="36" ht="36" customHeight="1">
      <c r="A36"/>
    </row>
    <row r="37" ht="36" customHeight="1">
      <c r="A37"/>
    </row>
    <row r="38" ht="36" customHeight="1">
      <c r="A38"/>
    </row>
    <row r="39" ht="36" customHeight="1">
      <c r="A39"/>
    </row>
    <row r="40" ht="36" customHeight="1">
      <c r="A40"/>
    </row>
  </sheetData>
  <sheetProtection selectLockedCells="1" selectUnlockedCells="1"/>
  <mergeCells count="11">
    <mergeCell ref="A1:G1"/>
    <mergeCell ref="J8:T8"/>
    <mergeCell ref="J9:S9"/>
    <mergeCell ref="J10:T10"/>
    <mergeCell ref="L18:N18"/>
    <mergeCell ref="J20:T20"/>
    <mergeCell ref="J21:T21"/>
    <mergeCell ref="J23:T23"/>
    <mergeCell ref="K24:M24"/>
    <mergeCell ref="J27:M27"/>
    <mergeCell ref="L28:Q2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showGridLines="0" workbookViewId="0" topLeftCell="A1">
      <pane xSplit="3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N36" sqref="N36"/>
    </sheetView>
  </sheetViews>
  <sheetFormatPr defaultColWidth="8.8515625" defaultRowHeight="12.75"/>
  <cols>
    <col min="1" max="1" width="3.00390625" style="0" customWidth="1"/>
    <col min="2" max="2" width="14.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8" max="8" width="8.851562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421875" style="0" customWidth="1"/>
    <col min="13" max="13" width="13.28125" style="0" customWidth="1"/>
    <col min="14" max="14" width="34.140625" style="0" customWidth="1"/>
    <col min="15" max="16" width="9.421875" style="0" customWidth="1"/>
  </cols>
  <sheetData>
    <row r="1" spans="1:18" ht="24">
      <c r="A1" s="77"/>
      <c r="B1" s="78" t="s">
        <v>5</v>
      </c>
      <c r="C1" s="78" t="s">
        <v>6</v>
      </c>
      <c r="D1" s="78" t="s">
        <v>7</v>
      </c>
      <c r="E1" s="78" t="s">
        <v>8</v>
      </c>
      <c r="F1" s="78" t="s">
        <v>9</v>
      </c>
      <c r="G1" s="78" t="s">
        <v>110</v>
      </c>
      <c r="H1" s="79" t="s">
        <v>111</v>
      </c>
      <c r="I1" s="78" t="s">
        <v>112</v>
      </c>
      <c r="J1" s="78" t="s">
        <v>113</v>
      </c>
      <c r="K1" s="80" t="s">
        <v>10</v>
      </c>
      <c r="L1" s="80" t="s">
        <v>11</v>
      </c>
      <c r="M1" s="81" t="s">
        <v>12</v>
      </c>
      <c r="N1" s="82" t="s">
        <v>115</v>
      </c>
      <c r="O1" s="83" t="s">
        <v>13</v>
      </c>
      <c r="P1" s="83" t="s">
        <v>14</v>
      </c>
      <c r="Q1" s="83" t="s">
        <v>15</v>
      </c>
      <c r="R1" s="83" t="s">
        <v>16</v>
      </c>
    </row>
    <row r="2" spans="1:18" ht="12">
      <c r="A2" s="77"/>
      <c r="B2" s="84">
        <f aca="true" t="shared" si="0" ref="B2:N2">IF(ISBLANK(B3),"",B3)</f>
      </c>
      <c r="C2" s="84">
        <f t="shared" si="0"/>
      </c>
      <c r="D2" s="84">
        <f t="shared" si="0"/>
      </c>
      <c r="E2" s="84">
        <f t="shared" si="0"/>
      </c>
      <c r="F2" s="84">
        <f t="shared" si="0"/>
      </c>
      <c r="G2" s="84">
        <f t="shared" si="0"/>
      </c>
      <c r="H2" s="84">
        <f t="shared" si="0"/>
      </c>
      <c r="I2" s="84">
        <f t="shared" si="0"/>
      </c>
      <c r="J2" s="84">
        <f t="shared" si="0"/>
      </c>
      <c r="K2" s="85">
        <f t="shared" si="0"/>
      </c>
      <c r="L2" s="85">
        <f t="shared" si="0"/>
      </c>
      <c r="M2" s="85">
        <f t="shared" si="0"/>
      </c>
      <c r="N2" s="84">
        <f t="shared" si="0"/>
      </c>
      <c r="O2" s="86"/>
      <c r="P2" s="87"/>
      <c r="Q2" s="86"/>
      <c r="R2" s="86"/>
    </row>
    <row r="3" spans="1:18" ht="12">
      <c r="A3" s="88">
        <v>1</v>
      </c>
      <c r="B3" s="89"/>
      <c r="C3" s="89"/>
      <c r="D3" s="89"/>
      <c r="E3" s="89"/>
      <c r="F3" s="89"/>
      <c r="G3" s="89"/>
      <c r="H3" s="89"/>
      <c r="I3" s="89"/>
      <c r="J3" s="89"/>
      <c r="K3" s="90"/>
      <c r="L3" s="90"/>
      <c r="M3" s="90"/>
      <c r="N3" s="89"/>
      <c r="O3" s="91"/>
      <c r="P3" s="92"/>
      <c r="Q3" s="91"/>
      <c r="R3" s="91"/>
    </row>
    <row r="4" spans="2:18" ht="12">
      <c r="B4" s="89"/>
      <c r="C4" s="89"/>
      <c r="D4" s="89"/>
      <c r="E4" s="89"/>
      <c r="F4" s="89"/>
      <c r="G4" s="89"/>
      <c r="H4" s="89"/>
      <c r="I4" s="89"/>
      <c r="J4" s="89"/>
      <c r="K4" s="90"/>
      <c r="L4" s="90"/>
      <c r="M4" s="90"/>
      <c r="N4" s="89"/>
      <c r="O4" s="92"/>
      <c r="P4" s="92"/>
      <c r="Q4" s="92"/>
      <c r="R4" s="91"/>
    </row>
    <row r="5" spans="1:18" ht="12">
      <c r="A5" s="88"/>
      <c r="B5" s="89"/>
      <c r="C5" s="89"/>
      <c r="D5" s="89"/>
      <c r="E5" s="89"/>
      <c r="F5" s="89"/>
      <c r="G5" s="89"/>
      <c r="H5" s="89"/>
      <c r="I5" s="89"/>
      <c r="J5" s="89"/>
      <c r="K5" s="90"/>
      <c r="L5" s="90"/>
      <c r="M5" s="90"/>
      <c r="N5" s="89"/>
      <c r="O5" s="91"/>
      <c r="P5" s="91"/>
      <c r="Q5" s="91"/>
      <c r="R5" s="91"/>
    </row>
    <row r="6" spans="1:18" ht="12">
      <c r="A6" s="88"/>
      <c r="B6" s="89"/>
      <c r="C6" s="89"/>
      <c r="D6" s="89"/>
      <c r="E6" s="89"/>
      <c r="F6" s="89"/>
      <c r="G6" s="89"/>
      <c r="H6" s="89"/>
      <c r="I6" s="89"/>
      <c r="J6" s="89"/>
      <c r="K6" s="90"/>
      <c r="L6" s="90"/>
      <c r="M6" s="90"/>
      <c r="N6" s="89"/>
      <c r="O6" s="91"/>
      <c r="P6" s="91"/>
      <c r="Q6" s="91"/>
      <c r="R6" s="91"/>
    </row>
    <row r="7" spans="2:18" ht="12">
      <c r="B7" s="89"/>
      <c r="C7" s="89"/>
      <c r="D7" s="89"/>
      <c r="E7" s="89"/>
      <c r="F7" s="89"/>
      <c r="G7" s="89"/>
      <c r="H7" s="89"/>
      <c r="I7" s="89"/>
      <c r="J7" s="89"/>
      <c r="K7" s="90"/>
      <c r="L7" s="90"/>
      <c r="M7" s="90"/>
      <c r="N7" s="89"/>
      <c r="O7" s="92"/>
      <c r="P7" s="91"/>
      <c r="Q7" s="92"/>
      <c r="R7" s="91"/>
    </row>
    <row r="8" spans="1:18" ht="12">
      <c r="A8" s="88"/>
      <c r="B8" s="89"/>
      <c r="C8" s="89"/>
      <c r="D8" s="89"/>
      <c r="E8" s="89"/>
      <c r="F8" s="89"/>
      <c r="G8" s="89"/>
      <c r="H8" s="89"/>
      <c r="I8" s="89"/>
      <c r="J8" s="89"/>
      <c r="K8" s="90"/>
      <c r="L8" s="90"/>
      <c r="M8" s="90"/>
      <c r="N8" s="89"/>
      <c r="O8" s="91"/>
      <c r="P8" s="92"/>
      <c r="Q8" s="91"/>
      <c r="R8" s="91"/>
    </row>
    <row r="9" spans="2:18" ht="12">
      <c r="B9" s="89"/>
      <c r="C9" s="89"/>
      <c r="D9" s="89"/>
      <c r="E9" s="89"/>
      <c r="F9" s="89"/>
      <c r="G9" s="89"/>
      <c r="H9" s="89"/>
      <c r="I9" s="89"/>
      <c r="J9" s="89"/>
      <c r="K9" s="90"/>
      <c r="L9" s="90"/>
      <c r="M9" s="90"/>
      <c r="N9" s="89"/>
      <c r="O9" s="92"/>
      <c r="P9" s="92"/>
      <c r="Q9" s="92"/>
      <c r="R9" s="91"/>
    </row>
    <row r="10" spans="1:18" ht="12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90"/>
      <c r="L10" s="90"/>
      <c r="M10" s="90"/>
      <c r="N10" s="89"/>
      <c r="O10" s="91"/>
      <c r="P10" s="92"/>
      <c r="Q10" s="91"/>
      <c r="R10" s="91"/>
    </row>
    <row r="11" spans="2:18" ht="12">
      <c r="B11" s="89"/>
      <c r="C11" s="89"/>
      <c r="D11" s="89"/>
      <c r="E11" s="89"/>
      <c r="F11" s="89"/>
      <c r="G11" s="89"/>
      <c r="H11" s="89"/>
      <c r="I11" s="89"/>
      <c r="J11" s="89"/>
      <c r="K11" s="90"/>
      <c r="L11" s="90"/>
      <c r="M11" s="90"/>
      <c r="N11" s="89"/>
      <c r="O11" s="92"/>
      <c r="P11" s="91"/>
      <c r="Q11" s="92"/>
      <c r="R11" s="91"/>
    </row>
    <row r="12" spans="1:18" ht="12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90"/>
      <c r="L12" s="90"/>
      <c r="M12" s="90"/>
      <c r="N12" s="89"/>
      <c r="O12" s="91"/>
      <c r="P12" s="92"/>
      <c r="Q12" s="91"/>
      <c r="R12" s="91"/>
    </row>
    <row r="13" spans="1:18" ht="12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90"/>
      <c r="L13" s="90"/>
      <c r="M13" s="90"/>
      <c r="N13" s="89"/>
      <c r="O13" s="91"/>
      <c r="P13" s="91"/>
      <c r="Q13" s="91"/>
      <c r="R13" s="91"/>
    </row>
    <row r="14" spans="1:18" ht="12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90"/>
      <c r="L14" s="90"/>
      <c r="M14" s="90"/>
      <c r="N14" s="89"/>
      <c r="O14" s="91"/>
      <c r="P14" s="92"/>
      <c r="Q14" s="91"/>
      <c r="R14" s="91"/>
    </row>
    <row r="15" spans="1:18" ht="12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90"/>
      <c r="L15" s="90"/>
      <c r="M15" s="90"/>
      <c r="N15" s="89"/>
      <c r="O15" s="91"/>
      <c r="P15" s="92"/>
      <c r="Q15" s="91"/>
      <c r="R15" s="91"/>
    </row>
    <row r="16" spans="1:18" ht="12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90"/>
      <c r="L16" s="90"/>
      <c r="M16" s="90"/>
      <c r="N16" s="89"/>
      <c r="O16" s="91"/>
      <c r="P16" s="91"/>
      <c r="Q16" s="91"/>
      <c r="R16" s="91"/>
    </row>
    <row r="17" spans="1:18" ht="12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93"/>
      <c r="L17" s="90"/>
      <c r="M17" s="90"/>
      <c r="N17" s="89"/>
      <c r="O17" s="91"/>
      <c r="P17" s="92"/>
      <c r="Q17" s="91"/>
      <c r="R17" s="91"/>
    </row>
    <row r="18" spans="1:18" ht="12">
      <c r="A18" s="88"/>
      <c r="B18" s="89"/>
      <c r="C18" s="89"/>
      <c r="D18" s="89"/>
      <c r="E18" s="94"/>
      <c r="F18" s="89"/>
      <c r="G18" s="89"/>
      <c r="H18" s="89"/>
      <c r="I18" s="89"/>
      <c r="J18" s="89"/>
      <c r="K18" s="90"/>
      <c r="L18" s="90"/>
      <c r="M18" s="90"/>
      <c r="N18" s="89"/>
      <c r="O18" s="91"/>
      <c r="P18" s="92"/>
      <c r="Q18" s="91"/>
      <c r="R18" s="91"/>
    </row>
    <row r="19" spans="1:18" ht="12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90"/>
      <c r="L19" s="90"/>
      <c r="M19" s="90"/>
      <c r="N19" s="89"/>
      <c r="O19" s="91"/>
      <c r="P19" s="92"/>
      <c r="Q19" s="91"/>
      <c r="R19" s="91"/>
    </row>
    <row r="20" spans="1:18" ht="12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90"/>
      <c r="L20" s="90"/>
      <c r="M20" s="90"/>
      <c r="N20" s="89"/>
      <c r="O20" s="91"/>
      <c r="P20" s="92"/>
      <c r="Q20" s="91"/>
      <c r="R20" s="91"/>
    </row>
    <row r="21" spans="1:18" ht="12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90"/>
      <c r="L21" s="90"/>
      <c r="M21" s="90"/>
      <c r="N21" s="89"/>
      <c r="O21" s="91"/>
      <c r="P21" s="91"/>
      <c r="Q21" s="91"/>
      <c r="R21" s="91"/>
    </row>
    <row r="22" spans="1:18" ht="12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90"/>
      <c r="L22" s="90"/>
      <c r="M22" s="90"/>
      <c r="N22" s="89"/>
      <c r="O22" s="91"/>
      <c r="P22" s="91"/>
      <c r="Q22" s="91"/>
      <c r="R22" s="91"/>
    </row>
    <row r="23" spans="1:18" ht="12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90"/>
      <c r="L23" s="90"/>
      <c r="M23" s="90"/>
      <c r="N23" s="89"/>
      <c r="O23" s="91"/>
      <c r="P23" s="91"/>
      <c r="Q23" s="91"/>
      <c r="R23" s="91"/>
    </row>
    <row r="24" spans="1:18" ht="12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90"/>
      <c r="L24" s="90"/>
      <c r="M24" s="90"/>
      <c r="N24" s="89"/>
      <c r="O24" s="91"/>
      <c r="P24" s="92"/>
      <c r="Q24" s="91"/>
      <c r="R24" s="91"/>
    </row>
    <row r="25" spans="1:18" ht="12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90"/>
      <c r="L25" s="90"/>
      <c r="M25" s="90"/>
      <c r="N25" s="89"/>
      <c r="O25" s="91"/>
      <c r="P25" s="91"/>
      <c r="Q25" s="91"/>
      <c r="R25" s="91"/>
    </row>
    <row r="26" spans="1:18" ht="12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90"/>
      <c r="L26" s="90"/>
      <c r="M26" s="90"/>
      <c r="N26" s="89"/>
      <c r="O26" s="91"/>
      <c r="P26" s="92"/>
      <c r="Q26" s="91"/>
      <c r="R26" s="91"/>
    </row>
    <row r="27" spans="1:18" ht="12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90"/>
      <c r="L27" s="90"/>
      <c r="M27" s="90"/>
      <c r="N27" s="89"/>
      <c r="O27" s="91"/>
      <c r="P27" s="92"/>
      <c r="Q27" s="91"/>
      <c r="R27" s="91"/>
    </row>
    <row r="28" spans="1:18" ht="12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90"/>
      <c r="L28" s="90"/>
      <c r="M28" s="90"/>
      <c r="N28" s="89"/>
      <c r="O28" s="91"/>
      <c r="P28" s="92"/>
      <c r="Q28" s="91"/>
      <c r="R28" s="91"/>
    </row>
    <row r="29" spans="1:18" ht="12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90"/>
      <c r="L29" s="90"/>
      <c r="M29" s="90"/>
      <c r="N29" s="89"/>
      <c r="O29" s="91"/>
      <c r="P29" s="92"/>
      <c r="Q29" s="91"/>
      <c r="R29" s="91"/>
    </row>
    <row r="30" spans="1:18" ht="12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90"/>
      <c r="L30" s="90"/>
      <c r="M30" s="90"/>
      <c r="N30" s="89"/>
      <c r="O30" s="91"/>
      <c r="P30" s="92"/>
      <c r="Q30" s="91"/>
      <c r="R30" s="91"/>
    </row>
    <row r="31" spans="1:18" ht="12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90"/>
      <c r="L31" s="90"/>
      <c r="M31" s="90"/>
      <c r="N31" s="89"/>
      <c r="O31" s="91"/>
      <c r="P31" s="92"/>
      <c r="Q31" s="91"/>
      <c r="R31" s="91"/>
    </row>
    <row r="32" spans="11:18" ht="12">
      <c r="K32" s="95"/>
      <c r="L32" s="95"/>
      <c r="M32" s="95"/>
      <c r="O32" s="96"/>
      <c r="Q32" s="96"/>
      <c r="R32" s="96"/>
    </row>
    <row r="34" ht="12">
      <c r="P34" t="s">
        <v>17</v>
      </c>
    </row>
    <row r="35" ht="12">
      <c r="P35" t="s">
        <v>18</v>
      </c>
    </row>
    <row r="36" ht="12">
      <c r="P36" t="s">
        <v>19</v>
      </c>
    </row>
    <row r="37" ht="12">
      <c r="P37" t="s">
        <v>20</v>
      </c>
    </row>
    <row r="38" ht="12">
      <c r="P38" t="s">
        <v>21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48"/>
  <sheetViews>
    <sheetView showGridLines="0" tabSelected="1" zoomScale="150" zoomScaleNormal="150" workbookViewId="0" topLeftCell="A1">
      <selection activeCell="A1" sqref="A1"/>
    </sheetView>
  </sheetViews>
  <sheetFormatPr defaultColWidth="8.8515625" defaultRowHeight="12.75"/>
  <cols>
    <col min="1" max="1" width="5.421875" style="97" customWidth="1"/>
    <col min="2" max="2" width="3.7109375" style="98" customWidth="1"/>
    <col min="3" max="3" width="30.7109375" style="99" customWidth="1"/>
    <col min="4" max="4" width="5.421875" style="97" customWidth="1"/>
    <col min="5" max="5" width="0.71875" style="0" customWidth="1"/>
    <col min="6" max="6" width="8.421875" style="97" customWidth="1"/>
    <col min="7" max="7" width="3.7109375" style="98" customWidth="1"/>
    <col min="8" max="8" width="30.7109375" style="99" customWidth="1"/>
    <col min="9" max="9" width="5.421875" style="97" customWidth="1"/>
    <col min="10" max="14" width="8.8515625" style="0" customWidth="1"/>
    <col min="15" max="15" width="29.7109375" style="0" customWidth="1"/>
  </cols>
  <sheetData>
    <row r="1" spans="1:9" ht="51.75">
      <c r="A1" s="100" t="s">
        <v>22</v>
      </c>
      <c r="B1" s="101" t="s">
        <v>23</v>
      </c>
      <c r="C1" s="102" t="s">
        <v>24</v>
      </c>
      <c r="D1" s="103" t="s">
        <v>25</v>
      </c>
      <c r="F1" s="100" t="s">
        <v>22</v>
      </c>
      <c r="G1" s="101" t="s">
        <v>23</v>
      </c>
      <c r="H1" s="102" t="s">
        <v>24</v>
      </c>
      <c r="I1" s="103" t="s">
        <v>25</v>
      </c>
    </row>
    <row r="2" spans="1:9" ht="12">
      <c r="A2" s="104"/>
      <c r="B2" s="105"/>
      <c r="C2" s="106" t="s">
        <v>136</v>
      </c>
      <c r="D2" s="107"/>
      <c r="F2" s="108">
        <f>A14+D14</f>
        <v>45.099999999999994</v>
      </c>
      <c r="G2" s="109" t="s">
        <v>137</v>
      </c>
      <c r="H2" s="110" t="s">
        <v>138</v>
      </c>
      <c r="I2" s="111">
        <v>16.2</v>
      </c>
    </row>
    <row r="3" spans="1:9" ht="12">
      <c r="A3" s="112"/>
      <c r="B3" s="113"/>
      <c r="C3" s="114" t="s">
        <v>71</v>
      </c>
      <c r="D3" s="115"/>
      <c r="F3" s="108">
        <f aca="true" t="shared" si="0" ref="F3:F9">F2+I2</f>
        <v>61.3</v>
      </c>
      <c r="G3" s="116" t="s">
        <v>139</v>
      </c>
      <c r="H3" s="117" t="s">
        <v>140</v>
      </c>
      <c r="I3" s="111">
        <v>10.9</v>
      </c>
    </row>
    <row r="4" spans="1:9" ht="12">
      <c r="A4" s="112"/>
      <c r="B4" s="113"/>
      <c r="C4" s="114" t="s">
        <v>141</v>
      </c>
      <c r="D4" s="115"/>
      <c r="F4" s="108">
        <f t="shared" si="0"/>
        <v>72.2</v>
      </c>
      <c r="G4" s="109" t="s">
        <v>139</v>
      </c>
      <c r="H4" s="110" t="s">
        <v>142</v>
      </c>
      <c r="I4" s="111">
        <v>17</v>
      </c>
    </row>
    <row r="5" spans="1:9" ht="12">
      <c r="A5" s="112"/>
      <c r="B5" s="113"/>
      <c r="C5" s="118"/>
      <c r="D5" s="115"/>
      <c r="F5" s="119">
        <f t="shared" si="0"/>
        <v>89.2</v>
      </c>
      <c r="G5" s="120" t="s">
        <v>137</v>
      </c>
      <c r="H5" s="121" t="s">
        <v>143</v>
      </c>
      <c r="I5" s="122">
        <v>19</v>
      </c>
    </row>
    <row r="6" spans="1:9" ht="12">
      <c r="A6" s="112">
        <v>0</v>
      </c>
      <c r="B6" s="113" t="s">
        <v>144</v>
      </c>
      <c r="C6" s="118" t="s">
        <v>145</v>
      </c>
      <c r="D6" s="115">
        <v>0</v>
      </c>
      <c r="F6" s="108">
        <f t="shared" si="0"/>
        <v>108.2</v>
      </c>
      <c r="G6" s="116" t="s">
        <v>139</v>
      </c>
      <c r="H6" s="117" t="s">
        <v>146</v>
      </c>
      <c r="I6" s="111">
        <v>16.9</v>
      </c>
    </row>
    <row r="7" spans="1:9" ht="12">
      <c r="A7" s="112">
        <f aca="true" t="shared" si="1" ref="A7:A12">A6+D6</f>
        <v>0</v>
      </c>
      <c r="B7" s="113" t="s">
        <v>144</v>
      </c>
      <c r="C7" s="118" t="s">
        <v>147</v>
      </c>
      <c r="D7" s="115">
        <v>0.1</v>
      </c>
      <c r="F7" s="108">
        <f t="shared" si="0"/>
        <v>125.1</v>
      </c>
      <c r="G7" s="116" t="s">
        <v>137</v>
      </c>
      <c r="H7" s="117" t="s">
        <v>148</v>
      </c>
      <c r="I7" s="111">
        <v>5.5</v>
      </c>
    </row>
    <row r="8" spans="1:9" ht="12">
      <c r="A8" s="112">
        <f t="shared" si="1"/>
        <v>0.1</v>
      </c>
      <c r="B8" s="113" t="s">
        <v>144</v>
      </c>
      <c r="C8" s="118" t="s">
        <v>149</v>
      </c>
      <c r="D8" s="115">
        <v>0.2</v>
      </c>
      <c r="F8" s="108">
        <f t="shared" si="0"/>
        <v>130.6</v>
      </c>
      <c r="G8" s="109" t="s">
        <v>139</v>
      </c>
      <c r="H8" s="110" t="s">
        <v>150</v>
      </c>
      <c r="I8" s="111">
        <v>10.9</v>
      </c>
    </row>
    <row r="9" spans="1:9" ht="12">
      <c r="A9" s="108">
        <f t="shared" si="1"/>
        <v>0.30000000000000004</v>
      </c>
      <c r="B9" s="123" t="s">
        <v>137</v>
      </c>
      <c r="C9" s="124" t="s">
        <v>151</v>
      </c>
      <c r="D9" s="111">
        <v>0.7</v>
      </c>
      <c r="F9" s="108">
        <f t="shared" si="0"/>
        <v>141.5</v>
      </c>
      <c r="G9" s="109" t="s">
        <v>144</v>
      </c>
      <c r="H9" s="110" t="s">
        <v>152</v>
      </c>
      <c r="I9" s="111">
        <v>0</v>
      </c>
    </row>
    <row r="10" spans="1:9" ht="12">
      <c r="A10" s="108">
        <f t="shared" si="1"/>
        <v>1</v>
      </c>
      <c r="B10" s="116" t="s">
        <v>139</v>
      </c>
      <c r="C10" s="117" t="s">
        <v>153</v>
      </c>
      <c r="D10" s="111">
        <v>17</v>
      </c>
      <c r="F10" s="108"/>
      <c r="G10" s="109"/>
      <c r="H10" s="109"/>
      <c r="I10" s="111"/>
    </row>
    <row r="11" spans="1:9" ht="12">
      <c r="A11" s="108">
        <f t="shared" si="1"/>
        <v>18</v>
      </c>
      <c r="B11" s="120" t="s">
        <v>139</v>
      </c>
      <c r="C11" s="121" t="s">
        <v>154</v>
      </c>
      <c r="D11" s="111">
        <v>10.9</v>
      </c>
      <c r="F11" s="125">
        <f>F9+I9</f>
        <v>141.5</v>
      </c>
      <c r="G11" s="126" t="s">
        <v>137</v>
      </c>
      <c r="H11" s="126" t="s">
        <v>155</v>
      </c>
      <c r="I11" s="127"/>
    </row>
    <row r="12" spans="1:9" ht="12">
      <c r="A12" s="108">
        <f t="shared" si="1"/>
        <v>28.9</v>
      </c>
      <c r="B12" s="120" t="s">
        <v>139</v>
      </c>
      <c r="C12" s="121" t="s">
        <v>156</v>
      </c>
      <c r="D12" s="111">
        <v>16.2</v>
      </c>
      <c r="F12" s="108"/>
      <c r="G12" s="109"/>
      <c r="H12" s="128" t="s">
        <v>157</v>
      </c>
      <c r="I12" s="111"/>
    </row>
    <row r="13" spans="1:9" ht="12">
      <c r="A13" s="108"/>
      <c r="B13" s="109"/>
      <c r="C13" s="129"/>
      <c r="D13" s="111"/>
      <c r="F13" s="108"/>
      <c r="G13" s="109"/>
      <c r="H13" s="128"/>
      <c r="I13" s="111"/>
    </row>
    <row r="14" spans="1:9" ht="12">
      <c r="A14" s="125">
        <f>A12+D12</f>
        <v>45.099999999999994</v>
      </c>
      <c r="B14" s="126" t="s">
        <v>144</v>
      </c>
      <c r="C14" s="126" t="s">
        <v>158</v>
      </c>
      <c r="D14" s="127"/>
      <c r="F14" s="108"/>
      <c r="G14" s="109"/>
      <c r="H14" s="110"/>
      <c r="I14" s="111"/>
    </row>
    <row r="15" spans="1:9" ht="12">
      <c r="A15" s="125"/>
      <c r="B15" s="130"/>
      <c r="C15" s="131" t="s">
        <v>159</v>
      </c>
      <c r="D15" s="127"/>
      <c r="F15" s="108"/>
      <c r="G15" s="116"/>
      <c r="H15" s="132"/>
      <c r="I15" s="111"/>
    </row>
    <row r="16" spans="1:9" ht="12">
      <c r="A16" s="125"/>
      <c r="B16" s="130"/>
      <c r="C16" s="131"/>
      <c r="D16" s="127"/>
      <c r="F16" s="108"/>
      <c r="G16" s="109"/>
      <c r="H16" s="110"/>
      <c r="I16" s="111"/>
    </row>
    <row r="17" spans="1:9" ht="12">
      <c r="A17" s="108"/>
      <c r="B17" s="109"/>
      <c r="C17" s="110"/>
      <c r="D17" s="111"/>
      <c r="F17" s="108"/>
      <c r="G17" s="109"/>
      <c r="H17" s="110"/>
      <c r="I17" s="111"/>
    </row>
    <row r="18" spans="1:9" ht="12">
      <c r="A18" s="108"/>
      <c r="B18" s="109"/>
      <c r="C18" s="110"/>
      <c r="D18" s="111"/>
      <c r="F18" s="108"/>
      <c r="G18" s="109"/>
      <c r="H18" s="110"/>
      <c r="I18" s="111"/>
    </row>
    <row r="19" spans="1:9" ht="12">
      <c r="A19" s="108"/>
      <c r="B19" s="116"/>
      <c r="C19" s="117"/>
      <c r="D19" s="111"/>
      <c r="F19" s="108"/>
      <c r="G19" s="116"/>
      <c r="H19" s="132"/>
      <c r="I19" s="111"/>
    </row>
    <row r="20" spans="1:9" ht="12">
      <c r="A20" s="108"/>
      <c r="B20" s="116"/>
      <c r="C20" s="117"/>
      <c r="D20" s="111"/>
      <c r="F20" s="108"/>
      <c r="G20" s="116"/>
      <c r="H20" s="116"/>
      <c r="I20" s="111"/>
    </row>
    <row r="21" spans="1:9" ht="12">
      <c r="A21" s="108"/>
      <c r="B21" s="116"/>
      <c r="C21" s="117"/>
      <c r="D21" s="111"/>
      <c r="F21" s="125"/>
      <c r="G21" s="130"/>
      <c r="H21" s="130"/>
      <c r="I21" s="127"/>
    </row>
    <row r="22" spans="1:9" ht="12">
      <c r="A22" s="108"/>
      <c r="B22" s="109"/>
      <c r="C22" s="110"/>
      <c r="D22" s="111"/>
      <c r="F22" s="108"/>
      <c r="G22" s="116"/>
      <c r="H22" s="131"/>
      <c r="I22" s="111"/>
    </row>
    <row r="23" spans="1:9" ht="12">
      <c r="A23" s="133"/>
      <c r="B23" s="134"/>
      <c r="C23" s="135"/>
      <c r="D23" s="136"/>
      <c r="F23" s="133"/>
      <c r="G23" s="134"/>
      <c r="H23" s="135"/>
      <c r="I23" s="136"/>
    </row>
    <row r="24" spans="1:9" ht="3" customHeight="1">
      <c r="A24" s="137"/>
      <c r="B24" s="138"/>
      <c r="C24" s="139"/>
      <c r="D24" s="137"/>
      <c r="F24" s="137"/>
      <c r="G24" s="138"/>
      <c r="H24" s="139"/>
      <c r="I24" s="137"/>
    </row>
    <row r="25" spans="1:9" ht="51.75">
      <c r="A25" s="100" t="s">
        <v>22</v>
      </c>
      <c r="B25" s="101" t="s">
        <v>23</v>
      </c>
      <c r="C25" s="102" t="s">
        <v>24</v>
      </c>
      <c r="D25" s="103" t="s">
        <v>25</v>
      </c>
      <c r="F25" s="100" t="s">
        <v>22</v>
      </c>
      <c r="G25" s="101" t="s">
        <v>23</v>
      </c>
      <c r="H25" s="102" t="s">
        <v>24</v>
      </c>
      <c r="I25" s="103" t="s">
        <v>25</v>
      </c>
    </row>
    <row r="26" spans="1:104" s="141" customFormat="1" ht="12">
      <c r="A26" s="108">
        <f>F11+I11</f>
        <v>141.5</v>
      </c>
      <c r="B26" s="109" t="s">
        <v>144</v>
      </c>
      <c r="C26" s="110" t="s">
        <v>160</v>
      </c>
      <c r="D26" s="111">
        <v>0</v>
      </c>
      <c r="E26"/>
      <c r="F26" s="119">
        <f>A36+D36</f>
        <v>252.3</v>
      </c>
      <c r="G26" s="120" t="s">
        <v>137</v>
      </c>
      <c r="H26" s="121" t="s">
        <v>161</v>
      </c>
      <c r="I26" s="140">
        <f>5.5+10.9</f>
        <v>16.4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41" customFormat="1" ht="12">
      <c r="A27" s="108">
        <f>A26+D26</f>
        <v>141.5</v>
      </c>
      <c r="B27" s="116" t="s">
        <v>144</v>
      </c>
      <c r="C27" s="132" t="s">
        <v>162</v>
      </c>
      <c r="D27" s="111">
        <v>46.6</v>
      </c>
      <c r="E27"/>
      <c r="F27" s="108">
        <f>F26+I26</f>
        <v>268.7</v>
      </c>
      <c r="G27" s="109" t="s">
        <v>137</v>
      </c>
      <c r="H27" s="117" t="s">
        <v>163</v>
      </c>
      <c r="I27" s="111">
        <v>17.9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41" customFormat="1" ht="12">
      <c r="A28" s="108">
        <f>A27+D27</f>
        <v>188.1</v>
      </c>
      <c r="B28" s="109" t="s">
        <v>139</v>
      </c>
      <c r="C28" s="110" t="s">
        <v>164</v>
      </c>
      <c r="D28" s="111">
        <v>8.8</v>
      </c>
      <c r="E28"/>
      <c r="F28" s="108">
        <f>F27+I27</f>
        <v>286.59999999999997</v>
      </c>
      <c r="G28" s="116" t="s">
        <v>137</v>
      </c>
      <c r="H28" s="110" t="s">
        <v>165</v>
      </c>
      <c r="I28" s="111">
        <v>0.7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41" customFormat="1" ht="12">
      <c r="A29" s="108"/>
      <c r="B29" s="109"/>
      <c r="C29" s="110"/>
      <c r="D29" s="111"/>
      <c r="E29"/>
      <c r="F29" s="108">
        <f>F28+I28</f>
        <v>287.29999999999995</v>
      </c>
      <c r="G29" s="116" t="s">
        <v>137</v>
      </c>
      <c r="H29" s="117" t="s">
        <v>166</v>
      </c>
      <c r="I29" s="111">
        <v>10.4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41" customFormat="1" ht="12">
      <c r="A30" s="125">
        <f>A28+D28</f>
        <v>196.9</v>
      </c>
      <c r="B30" s="126" t="s">
        <v>137</v>
      </c>
      <c r="C30" s="126" t="s">
        <v>30</v>
      </c>
      <c r="D30" s="111"/>
      <c r="E30"/>
      <c r="F30" s="108">
        <f aca="true" t="shared" si="2" ref="F30:F35">F29+I29</f>
        <v>297.69999999999993</v>
      </c>
      <c r="G30" s="116" t="s">
        <v>144</v>
      </c>
      <c r="H30" s="117" t="s">
        <v>167</v>
      </c>
      <c r="I30" s="111">
        <v>0.7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41" customFormat="1" ht="12">
      <c r="A31" s="108"/>
      <c r="B31" s="109"/>
      <c r="C31" s="130" t="s">
        <v>168</v>
      </c>
      <c r="D31" s="111"/>
      <c r="E31"/>
      <c r="F31" s="108">
        <f t="shared" si="2"/>
        <v>298.3999999999999</v>
      </c>
      <c r="G31" s="113" t="s">
        <v>139</v>
      </c>
      <c r="H31" s="118" t="s">
        <v>169</v>
      </c>
      <c r="I31" s="115">
        <v>1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41" customFormat="1" ht="12">
      <c r="A32" s="125"/>
      <c r="B32" s="126"/>
      <c r="C32" s="130" t="s">
        <v>170</v>
      </c>
      <c r="D32" s="111"/>
      <c r="E32"/>
      <c r="F32" s="108">
        <f t="shared" si="2"/>
        <v>299.3999999999999</v>
      </c>
      <c r="G32" s="113" t="s">
        <v>137</v>
      </c>
      <c r="H32" s="118" t="s">
        <v>171</v>
      </c>
      <c r="I32" s="115">
        <v>1.3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41" customFormat="1" ht="12">
      <c r="A33" s="108"/>
      <c r="B33" s="116"/>
      <c r="C33" s="110"/>
      <c r="D33" s="111"/>
      <c r="E33"/>
      <c r="F33" s="108">
        <f t="shared" si="2"/>
        <v>300.69999999999993</v>
      </c>
      <c r="G33" s="113" t="s">
        <v>144</v>
      </c>
      <c r="H33" s="118" t="s">
        <v>172</v>
      </c>
      <c r="I33" s="115">
        <v>0.9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41" customFormat="1" ht="12">
      <c r="A34" s="108"/>
      <c r="B34" s="116" t="s">
        <v>144</v>
      </c>
      <c r="C34" s="110" t="s">
        <v>173</v>
      </c>
      <c r="D34" s="111">
        <v>55.4</v>
      </c>
      <c r="E34"/>
      <c r="F34" s="108">
        <f t="shared" si="2"/>
        <v>301.5999999999999</v>
      </c>
      <c r="G34" s="113" t="s">
        <v>137</v>
      </c>
      <c r="H34" s="118" t="s">
        <v>174</v>
      </c>
      <c r="I34" s="115">
        <v>1.6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41" customFormat="1" ht="12">
      <c r="A35" s="108"/>
      <c r="B35" s="116"/>
      <c r="C35" s="117"/>
      <c r="D35" s="111"/>
      <c r="E35"/>
      <c r="F35" s="108">
        <f t="shared" si="2"/>
        <v>303.19999999999993</v>
      </c>
      <c r="G35" s="113" t="s">
        <v>144</v>
      </c>
      <c r="H35" s="118" t="s">
        <v>175</v>
      </c>
      <c r="I35" s="115">
        <v>2.2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41" customFormat="1" ht="12">
      <c r="A36" s="125">
        <f>A30+D34</f>
        <v>252.3</v>
      </c>
      <c r="B36" s="142" t="s">
        <v>137</v>
      </c>
      <c r="C36" s="114" t="s">
        <v>135</v>
      </c>
      <c r="D36" s="143"/>
      <c r="E36"/>
      <c r="F36" s="108"/>
      <c r="G36" s="116"/>
      <c r="H36" s="117"/>
      <c r="I36" s="111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41" customFormat="1" ht="12">
      <c r="A37" s="125"/>
      <c r="B37" s="142"/>
      <c r="C37" s="114" t="s">
        <v>157</v>
      </c>
      <c r="D37" s="143"/>
      <c r="E37"/>
      <c r="F37" s="144">
        <f>F35+I35</f>
        <v>305.3999999999999</v>
      </c>
      <c r="G37" s="145" t="s">
        <v>144</v>
      </c>
      <c r="H37" s="114" t="s">
        <v>176</v>
      </c>
      <c r="I37" s="140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41" customFormat="1" ht="12">
      <c r="A38" s="125"/>
      <c r="B38" s="126"/>
      <c r="C38" s="126"/>
      <c r="D38" s="111"/>
      <c r="E38"/>
      <c r="F38" s="108"/>
      <c r="G38" s="109"/>
      <c r="H38" s="114" t="s">
        <v>71</v>
      </c>
      <c r="I38" s="111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41" customFormat="1" ht="12">
      <c r="A39" s="125"/>
      <c r="B39" s="126"/>
      <c r="C39" s="126"/>
      <c r="D39" s="111"/>
      <c r="E39"/>
      <c r="F39" s="119"/>
      <c r="G39" s="120"/>
      <c r="H39" s="114" t="s">
        <v>141</v>
      </c>
      <c r="I39" s="140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41" customFormat="1" ht="12">
      <c r="A40" s="108"/>
      <c r="B40" s="109"/>
      <c r="C40" s="130"/>
      <c r="D40" s="111"/>
      <c r="E40"/>
      <c r="F40" s="108"/>
      <c r="G40" s="113"/>
      <c r="H40" s="118"/>
      <c r="I40" s="115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41" customFormat="1" ht="12">
      <c r="A41" s="125"/>
      <c r="B41" s="126"/>
      <c r="C41" s="130"/>
      <c r="D41" s="111"/>
      <c r="E41"/>
      <c r="F41" s="108"/>
      <c r="G41" s="113"/>
      <c r="H41" s="118"/>
      <c r="I41" s="115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41" customFormat="1" ht="12">
      <c r="A42" s="108"/>
      <c r="B42" s="109"/>
      <c r="C42" s="130"/>
      <c r="D42" s="111"/>
      <c r="E42"/>
      <c r="F42" s="108"/>
      <c r="G42" s="116"/>
      <c r="H42" s="117"/>
      <c r="I42" s="111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41" customFormat="1" ht="12">
      <c r="A43" s="108"/>
      <c r="B43" s="120"/>
      <c r="C43" s="146"/>
      <c r="D43" s="140"/>
      <c r="E43"/>
      <c r="F43" s="144"/>
      <c r="G43" s="145"/>
      <c r="H43" s="114"/>
      <c r="I43" s="140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41" customFormat="1" ht="12">
      <c r="A44" s="108"/>
      <c r="B44" s="109"/>
      <c r="C44" s="110"/>
      <c r="D44" s="111"/>
      <c r="E44"/>
      <c r="F44" s="108"/>
      <c r="G44" s="109"/>
      <c r="H44" s="114"/>
      <c r="I44" s="111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41" customFormat="1" ht="12">
      <c r="A45" s="108"/>
      <c r="B45" s="109"/>
      <c r="C45" s="110"/>
      <c r="D45" s="111"/>
      <c r="E45"/>
      <c r="F45" s="119"/>
      <c r="G45" s="120"/>
      <c r="H45" s="114"/>
      <c r="I45" s="140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41" customFormat="1" ht="12">
      <c r="A46" s="108"/>
      <c r="B46" s="147"/>
      <c r="C46" s="146"/>
      <c r="D46" s="140"/>
      <c r="E46"/>
      <c r="F46" s="108"/>
      <c r="G46" s="109"/>
      <c r="H46" s="114"/>
      <c r="I46" s="111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2">
      <c r="A47" s="133"/>
      <c r="B47" s="148"/>
      <c r="C47" s="149"/>
      <c r="D47" s="150"/>
      <c r="F47" s="133"/>
      <c r="G47" s="134"/>
      <c r="H47" s="151" t="s">
        <v>177</v>
      </c>
      <c r="I47" s="136"/>
    </row>
    <row r="48" ht="12">
      <c r="H48" s="152"/>
    </row>
  </sheetData>
  <sheetProtection selectLockedCells="1" selectUnlockedCells="1"/>
  <printOptions horizontalCentered="1"/>
  <pageMargins left="0.43333333333333335" right="0.43333333333333335" top="0.6298611111111111" bottom="0.6298611111111112" header="0.2361111111111111" footer="0.5513888888888889"/>
  <pageSetup horizontalDpi="300" verticalDpi="300" orientation="portrait"/>
  <headerFooter alignWithMargins="0">
    <oddHeader>&amp;L&amp;8&amp;A&amp;C&amp;"Arial,Bold"Island 300km BREVET&amp;R&amp;8Page &amp;P of &amp;N</oddHeader>
    <oddFooter>&amp;L&amp;8L = Left
SO = Straight On
R = Right&amp;CBC Randonneurs Cycling Club
&amp;8Affiliated with &amp;"Arial,Italic"Cycling BC
&amp;"Arial,Regular"Founding member of&amp;"Arial,Italic" Les Randonneurs Mondiaux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3"/>
  <sheetViews>
    <sheetView showGridLines="0" workbookViewId="0" topLeftCell="A1">
      <selection activeCell="C79" sqref="C79"/>
    </sheetView>
  </sheetViews>
  <sheetFormatPr defaultColWidth="8.8515625" defaultRowHeight="12.75"/>
  <cols>
    <col min="1" max="1" width="5.421875" style="0" customWidth="1"/>
    <col min="2" max="2" width="3.28125" style="0" customWidth="1"/>
    <col min="3" max="3" width="31.7109375" style="0" customWidth="1"/>
    <col min="4" max="4" width="6.140625" style="0" customWidth="1"/>
    <col min="5" max="5" width="16.8515625" style="1" customWidth="1"/>
    <col min="6" max="6" width="5.421875" style="0" customWidth="1"/>
    <col min="7" max="7" width="3.28125" style="0" customWidth="1"/>
    <col min="8" max="8" width="30.8515625" style="0" customWidth="1"/>
    <col min="9" max="9" width="6.140625" style="0" customWidth="1"/>
  </cols>
  <sheetData>
    <row r="1" spans="1:4" ht="51.75">
      <c r="A1" s="100" t="s">
        <v>22</v>
      </c>
      <c r="B1" s="101" t="s">
        <v>23</v>
      </c>
      <c r="C1" s="102" t="s">
        <v>24</v>
      </c>
      <c r="D1" s="103" t="s">
        <v>25</v>
      </c>
    </row>
    <row r="2" spans="1:5" ht="12">
      <c r="A2" s="108"/>
      <c r="B2" s="109"/>
      <c r="C2" s="126" t="s">
        <v>178</v>
      </c>
      <c r="D2" s="111"/>
      <c r="E2" s="153"/>
    </row>
    <row r="3" spans="1:5" ht="12">
      <c r="A3" s="108"/>
      <c r="B3" s="154"/>
      <c r="C3" s="128" t="s">
        <v>179</v>
      </c>
      <c r="D3" s="111"/>
      <c r="E3" s="153"/>
    </row>
    <row r="4" spans="1:5" ht="12">
      <c r="A4" s="108"/>
      <c r="B4" s="109"/>
      <c r="C4" s="126"/>
      <c r="D4" s="111"/>
      <c r="E4" s="153"/>
    </row>
    <row r="5" spans="1:5" ht="12">
      <c r="A5" s="108">
        <v>0</v>
      </c>
      <c r="B5" s="154" t="s">
        <v>137</v>
      </c>
      <c r="C5" s="155" t="s">
        <v>180</v>
      </c>
      <c r="D5" s="111">
        <v>0.5</v>
      </c>
      <c r="E5" s="156"/>
    </row>
    <row r="6" spans="1:5" ht="12">
      <c r="A6" s="108">
        <f>A5+D5</f>
        <v>0.5</v>
      </c>
      <c r="B6" s="116" t="s">
        <v>139</v>
      </c>
      <c r="C6" s="146" t="s">
        <v>181</v>
      </c>
      <c r="D6" s="111">
        <v>1</v>
      </c>
      <c r="E6" s="153"/>
    </row>
    <row r="7" spans="1:5" ht="12">
      <c r="A7" s="108">
        <f aca="true" t="shared" si="0" ref="A7:A12">A6+D6</f>
        <v>1.5</v>
      </c>
      <c r="B7" s="109" t="s">
        <v>139</v>
      </c>
      <c r="C7" s="121" t="s">
        <v>182</v>
      </c>
      <c r="D7" s="111">
        <v>1.6</v>
      </c>
      <c r="E7" s="153"/>
    </row>
    <row r="8" spans="1:5" ht="12">
      <c r="A8" s="108">
        <f t="shared" si="0"/>
        <v>3.1</v>
      </c>
      <c r="B8" s="123" t="s">
        <v>139</v>
      </c>
      <c r="C8" s="124" t="s">
        <v>183</v>
      </c>
      <c r="D8" s="111">
        <v>3.5</v>
      </c>
      <c r="E8" s="153"/>
    </row>
    <row r="9" spans="1:5" ht="12">
      <c r="A9" s="108">
        <f t="shared" si="0"/>
        <v>6.6</v>
      </c>
      <c r="B9" s="116" t="s">
        <v>139</v>
      </c>
      <c r="C9" s="117" t="s">
        <v>184</v>
      </c>
      <c r="D9" s="111">
        <v>1.6</v>
      </c>
      <c r="E9" s="153"/>
    </row>
    <row r="10" spans="1:5" ht="12">
      <c r="A10" s="108">
        <f t="shared" si="0"/>
        <v>8.2</v>
      </c>
      <c r="B10" s="116" t="s">
        <v>139</v>
      </c>
      <c r="C10" s="117" t="s">
        <v>153</v>
      </c>
      <c r="D10" s="111">
        <v>17</v>
      </c>
      <c r="E10" s="156"/>
    </row>
    <row r="11" spans="1:5" ht="12">
      <c r="A11" s="108">
        <f t="shared" si="0"/>
        <v>25.2</v>
      </c>
      <c r="B11" s="120" t="s">
        <v>139</v>
      </c>
      <c r="C11" s="121" t="s">
        <v>154</v>
      </c>
      <c r="D11" s="111">
        <v>10.9</v>
      </c>
      <c r="E11" s="153"/>
    </row>
    <row r="12" spans="1:5" ht="12">
      <c r="A12" s="108">
        <f t="shared" si="0"/>
        <v>36.1</v>
      </c>
      <c r="B12" s="120" t="s">
        <v>139</v>
      </c>
      <c r="C12" s="121" t="s">
        <v>156</v>
      </c>
      <c r="D12" s="111">
        <v>16.2</v>
      </c>
      <c r="E12" s="156"/>
    </row>
    <row r="13" spans="1:5" ht="12">
      <c r="A13" s="108"/>
      <c r="B13" s="109"/>
      <c r="C13" s="129"/>
      <c r="D13" s="111"/>
      <c r="E13" s="156"/>
    </row>
    <row r="14" spans="1:5" ht="12">
      <c r="A14" s="125">
        <f>A12+D12</f>
        <v>52.3</v>
      </c>
      <c r="B14" s="126" t="s">
        <v>144</v>
      </c>
      <c r="C14" s="126" t="s">
        <v>158</v>
      </c>
      <c r="D14" s="127"/>
      <c r="E14" s="156"/>
    </row>
    <row r="15" spans="1:5" ht="12">
      <c r="A15" s="125"/>
      <c r="B15" s="130"/>
      <c r="C15" s="131" t="s">
        <v>159</v>
      </c>
      <c r="D15" s="127"/>
      <c r="E15" s="153"/>
    </row>
    <row r="16" spans="1:5" ht="12">
      <c r="A16" s="125"/>
      <c r="B16" s="130"/>
      <c r="C16" s="131"/>
      <c r="D16" s="127"/>
      <c r="E16" s="153"/>
    </row>
    <row r="17" spans="1:5" ht="12">
      <c r="A17" s="108"/>
      <c r="B17" s="109"/>
      <c r="C17" s="110"/>
      <c r="D17" s="111"/>
      <c r="E17" s="153"/>
    </row>
    <row r="18" spans="1:5" ht="12">
      <c r="A18" s="108"/>
      <c r="B18" s="109"/>
      <c r="C18" s="110"/>
      <c r="D18" s="111"/>
      <c r="E18" s="153"/>
    </row>
    <row r="19" spans="1:5" ht="12">
      <c r="A19" s="108"/>
      <c r="B19" s="116"/>
      <c r="C19" s="117"/>
      <c r="D19" s="111"/>
      <c r="E19" s="153"/>
    </row>
    <row r="20" spans="1:5" ht="12">
      <c r="A20" s="108"/>
      <c r="B20" s="116"/>
      <c r="C20" s="117"/>
      <c r="D20" s="111"/>
      <c r="E20" s="153"/>
    </row>
    <row r="21" spans="1:5" ht="12">
      <c r="A21" s="108"/>
      <c r="B21" s="116"/>
      <c r="C21" s="117"/>
      <c r="D21" s="111"/>
      <c r="E21" s="153"/>
    </row>
    <row r="22" spans="1:5" ht="12">
      <c r="A22" s="108"/>
      <c r="B22" s="109"/>
      <c r="C22" s="110"/>
      <c r="D22" s="111"/>
      <c r="E22" s="156"/>
    </row>
    <row r="23" spans="1:5" ht="12">
      <c r="A23" s="133"/>
      <c r="B23" s="134"/>
      <c r="C23" s="135"/>
      <c r="D23" s="136"/>
      <c r="E23" s="153"/>
    </row>
    <row r="24" spans="1:4" ht="51.75">
      <c r="A24" s="100" t="s">
        <v>22</v>
      </c>
      <c r="B24" s="101" t="s">
        <v>23</v>
      </c>
      <c r="C24" s="102" t="s">
        <v>24</v>
      </c>
      <c r="D24" s="103" t="s">
        <v>25</v>
      </c>
    </row>
    <row r="25" spans="1:5" ht="12">
      <c r="A25" s="108"/>
      <c r="B25" s="109" t="s">
        <v>137</v>
      </c>
      <c r="C25" s="110" t="s">
        <v>138</v>
      </c>
      <c r="D25" s="111">
        <v>16.2</v>
      </c>
      <c r="E25" s="153"/>
    </row>
    <row r="26" spans="1:5" ht="12">
      <c r="A26" s="108">
        <f>A14+D25</f>
        <v>68.5</v>
      </c>
      <c r="B26" s="109" t="s">
        <v>139</v>
      </c>
      <c r="C26" s="110" t="s">
        <v>140</v>
      </c>
      <c r="D26" s="111">
        <v>10.9</v>
      </c>
      <c r="E26" s="153"/>
    </row>
    <row r="27" spans="1:5" ht="12">
      <c r="A27" s="108">
        <f aca="true" t="shared" si="1" ref="A27:A32">A26+D26</f>
        <v>79.4</v>
      </c>
      <c r="B27" s="116" t="s">
        <v>139</v>
      </c>
      <c r="C27" s="117" t="s">
        <v>142</v>
      </c>
      <c r="D27" s="111">
        <v>17</v>
      </c>
      <c r="E27" s="153"/>
    </row>
    <row r="28" spans="1:5" ht="12">
      <c r="A28" s="108">
        <f t="shared" si="1"/>
        <v>96.4</v>
      </c>
      <c r="B28" s="109" t="s">
        <v>139</v>
      </c>
      <c r="C28" s="110" t="s">
        <v>185</v>
      </c>
      <c r="D28" s="111">
        <v>1.6</v>
      </c>
      <c r="E28" s="153"/>
    </row>
    <row r="29" spans="1:5" ht="12">
      <c r="A29" s="108">
        <f t="shared" si="1"/>
        <v>98</v>
      </c>
      <c r="B29" s="120" t="s">
        <v>139</v>
      </c>
      <c r="C29" s="121" t="s">
        <v>186</v>
      </c>
      <c r="D29" s="111">
        <v>3.5</v>
      </c>
      <c r="E29" s="153"/>
    </row>
    <row r="30" spans="1:5" ht="12">
      <c r="A30" s="108">
        <f t="shared" si="1"/>
        <v>101.5</v>
      </c>
      <c r="B30" s="157" t="s">
        <v>139</v>
      </c>
      <c r="C30" s="158" t="s">
        <v>187</v>
      </c>
      <c r="D30" s="111">
        <v>1.6</v>
      </c>
      <c r="E30" s="153"/>
    </row>
    <row r="31" spans="1:5" ht="12">
      <c r="A31" s="108">
        <f t="shared" si="1"/>
        <v>103.1</v>
      </c>
      <c r="B31" s="109" t="s">
        <v>139</v>
      </c>
      <c r="C31" s="109" t="s">
        <v>188</v>
      </c>
      <c r="D31" s="111">
        <v>1</v>
      </c>
      <c r="E31" s="153"/>
    </row>
    <row r="32" spans="1:5" ht="12">
      <c r="A32" s="108">
        <f t="shared" si="1"/>
        <v>104.1</v>
      </c>
      <c r="B32" s="120" t="s">
        <v>139</v>
      </c>
      <c r="C32" s="121" t="s">
        <v>31</v>
      </c>
      <c r="D32" s="111">
        <v>0.5</v>
      </c>
      <c r="E32" s="153"/>
    </row>
    <row r="33" spans="1:5" ht="12">
      <c r="A33" s="108"/>
      <c r="B33" s="116"/>
      <c r="C33" s="117"/>
      <c r="D33" s="111"/>
      <c r="E33" s="153"/>
    </row>
    <row r="34" spans="1:5" ht="12">
      <c r="A34" s="125">
        <f>A32+D32</f>
        <v>104.6</v>
      </c>
      <c r="B34" s="126" t="s">
        <v>144</v>
      </c>
      <c r="C34" s="128" t="s">
        <v>32</v>
      </c>
      <c r="D34" s="127"/>
      <c r="E34" s="153"/>
    </row>
    <row r="35" spans="1:5" ht="12">
      <c r="A35" s="108"/>
      <c r="B35" s="109"/>
      <c r="C35" s="128" t="s">
        <v>179</v>
      </c>
      <c r="D35" s="111"/>
      <c r="E35" s="153"/>
    </row>
    <row r="36" spans="1:5" ht="12">
      <c r="A36" s="108"/>
      <c r="B36" s="116"/>
      <c r="C36" s="130"/>
      <c r="D36" s="111"/>
      <c r="E36" s="153"/>
    </row>
    <row r="37" spans="1:5" ht="12">
      <c r="A37" s="108"/>
      <c r="B37" s="116" t="s">
        <v>144</v>
      </c>
      <c r="C37" s="117" t="s">
        <v>33</v>
      </c>
      <c r="D37" s="111">
        <v>0.8</v>
      </c>
      <c r="E37"/>
    </row>
    <row r="38" spans="1:5" ht="12">
      <c r="A38" s="108">
        <f>A34+D37</f>
        <v>105.39999999999999</v>
      </c>
      <c r="B38" s="116" t="s">
        <v>139</v>
      </c>
      <c r="C38" s="117" t="s">
        <v>34</v>
      </c>
      <c r="D38" s="111">
        <v>10.5</v>
      </c>
      <c r="E38" s="153"/>
    </row>
    <row r="39" spans="1:5" ht="12">
      <c r="A39" s="108">
        <f>A38+D38</f>
        <v>115.89999999999999</v>
      </c>
      <c r="B39" s="116" t="s">
        <v>139</v>
      </c>
      <c r="C39" s="117" t="s">
        <v>35</v>
      </c>
      <c r="D39" s="111">
        <v>17.9</v>
      </c>
      <c r="E39" s="153"/>
    </row>
    <row r="40" spans="1:5" ht="12">
      <c r="A40" s="108">
        <f>A39+D39</f>
        <v>133.79999999999998</v>
      </c>
      <c r="B40" s="116" t="s">
        <v>137</v>
      </c>
      <c r="C40" s="117" t="s">
        <v>148</v>
      </c>
      <c r="D40" s="111">
        <v>5.5</v>
      </c>
      <c r="E40" s="153"/>
    </row>
    <row r="41" spans="1:5" ht="12">
      <c r="A41" s="108">
        <f>A40+D40</f>
        <v>139.29999999999998</v>
      </c>
      <c r="B41" s="116" t="s">
        <v>139</v>
      </c>
      <c r="C41" s="117" t="s">
        <v>150</v>
      </c>
      <c r="D41" s="111">
        <v>10.9</v>
      </c>
      <c r="E41" s="156"/>
    </row>
    <row r="42" spans="1:5" ht="12">
      <c r="A42" s="108">
        <f>A41+D41</f>
        <v>150.2</v>
      </c>
      <c r="B42" s="116" t="s">
        <v>144</v>
      </c>
      <c r="C42" s="117" t="s">
        <v>152</v>
      </c>
      <c r="D42" s="111">
        <v>0</v>
      </c>
      <c r="E42" s="153"/>
    </row>
    <row r="43" spans="1:5" ht="12">
      <c r="A43" s="108"/>
      <c r="B43" s="116"/>
      <c r="C43" s="116"/>
      <c r="D43" s="111"/>
      <c r="E43" s="153"/>
    </row>
    <row r="44" spans="1:5" ht="12">
      <c r="A44" s="125">
        <f>A42+D42</f>
        <v>150.2</v>
      </c>
      <c r="B44" s="130" t="s">
        <v>137</v>
      </c>
      <c r="C44" s="130" t="s">
        <v>36</v>
      </c>
      <c r="D44" s="127"/>
      <c r="E44" s="153"/>
    </row>
    <row r="45" spans="1:5" ht="12">
      <c r="A45" s="108"/>
      <c r="B45" s="116"/>
      <c r="C45" s="131" t="s">
        <v>157</v>
      </c>
      <c r="D45" s="111"/>
      <c r="E45" s="153"/>
    </row>
    <row r="46" spans="1:5" ht="12">
      <c r="A46" s="133"/>
      <c r="B46" s="134"/>
      <c r="C46" s="135"/>
      <c r="D46" s="136"/>
      <c r="E46" s="153"/>
    </row>
    <row r="47" spans="1:4" ht="51.75">
      <c r="A47" s="100" t="s">
        <v>22</v>
      </c>
      <c r="B47" s="101" t="s">
        <v>23</v>
      </c>
      <c r="C47" s="102" t="s">
        <v>24</v>
      </c>
      <c r="D47" s="103" t="s">
        <v>25</v>
      </c>
    </row>
    <row r="48" spans="1:5" ht="12">
      <c r="A48" s="108"/>
      <c r="B48" s="109" t="s">
        <v>144</v>
      </c>
      <c r="C48" s="110" t="s">
        <v>160</v>
      </c>
      <c r="D48" s="111">
        <v>0</v>
      </c>
      <c r="E48" s="153"/>
    </row>
    <row r="49" spans="1:5" ht="12">
      <c r="A49" s="108">
        <f>A44+D48</f>
        <v>150.2</v>
      </c>
      <c r="B49" s="116" t="s">
        <v>144</v>
      </c>
      <c r="C49" s="132" t="s">
        <v>162</v>
      </c>
      <c r="D49" s="111">
        <v>59.5</v>
      </c>
      <c r="E49" s="156"/>
    </row>
    <row r="50" spans="1:5" ht="12">
      <c r="A50" s="108">
        <f aca="true" t="shared" si="2" ref="A50:A55">A49+D49</f>
        <v>209.7</v>
      </c>
      <c r="B50" s="109" t="s">
        <v>139</v>
      </c>
      <c r="C50" s="110" t="s">
        <v>37</v>
      </c>
      <c r="D50" s="111">
        <v>1.5</v>
      </c>
      <c r="E50" s="153"/>
    </row>
    <row r="51" spans="1:5" ht="12">
      <c r="A51" s="108">
        <f t="shared" si="2"/>
        <v>211.2</v>
      </c>
      <c r="B51" s="109" t="s">
        <v>137</v>
      </c>
      <c r="C51" s="110" t="s">
        <v>38</v>
      </c>
      <c r="D51" s="111">
        <v>0.3</v>
      </c>
      <c r="E51"/>
    </row>
    <row r="52" spans="1:5" ht="12">
      <c r="A52" s="108">
        <f t="shared" si="2"/>
        <v>211.5</v>
      </c>
      <c r="B52" s="109" t="s">
        <v>144</v>
      </c>
      <c r="C52" s="110" t="s">
        <v>39</v>
      </c>
      <c r="D52" s="111">
        <v>1.6</v>
      </c>
      <c r="E52" s="153"/>
    </row>
    <row r="53" spans="1:5" ht="12">
      <c r="A53" s="108">
        <f t="shared" si="2"/>
        <v>213.1</v>
      </c>
      <c r="B53" s="116" t="s">
        <v>137</v>
      </c>
      <c r="C53" s="132" t="s">
        <v>40</v>
      </c>
      <c r="D53" s="111">
        <v>34.4</v>
      </c>
      <c r="E53" s="153"/>
    </row>
    <row r="54" spans="1:5" ht="12">
      <c r="A54" s="108">
        <f t="shared" si="2"/>
        <v>247.5</v>
      </c>
      <c r="B54" s="109" t="s">
        <v>139</v>
      </c>
      <c r="C54" s="110" t="s">
        <v>41</v>
      </c>
      <c r="D54" s="111">
        <v>9.2</v>
      </c>
      <c r="E54" s="153"/>
    </row>
    <row r="55" spans="1:5" ht="12">
      <c r="A55" s="108">
        <f t="shared" si="2"/>
        <v>256.7</v>
      </c>
      <c r="B55" s="109" t="s">
        <v>137</v>
      </c>
      <c r="C55" s="110" t="s">
        <v>42</v>
      </c>
      <c r="D55" s="111">
        <v>0.8</v>
      </c>
      <c r="E55" s="153"/>
    </row>
    <row r="56" spans="1:5" ht="12">
      <c r="A56" s="108"/>
      <c r="B56" s="116"/>
      <c r="C56" s="110"/>
      <c r="D56" s="111"/>
      <c r="E56" s="153"/>
    </row>
    <row r="57" spans="1:5" ht="12">
      <c r="A57" s="125">
        <f>A55+D55</f>
        <v>257.5</v>
      </c>
      <c r="B57" s="126" t="s">
        <v>144</v>
      </c>
      <c r="C57" s="126" t="s">
        <v>43</v>
      </c>
      <c r="D57" s="111"/>
      <c r="E57" s="153"/>
    </row>
    <row r="58" spans="1:5" ht="12">
      <c r="A58" s="108"/>
      <c r="B58" s="109"/>
      <c r="C58" s="128" t="s">
        <v>44</v>
      </c>
      <c r="D58" s="111"/>
      <c r="E58" s="153"/>
    </row>
    <row r="59" spans="1:5" ht="12">
      <c r="A59" s="108"/>
      <c r="B59" s="116"/>
      <c r="C59" s="131" t="s">
        <v>45</v>
      </c>
      <c r="D59" s="111"/>
      <c r="E59" s="153"/>
    </row>
    <row r="60" spans="1:5" ht="12">
      <c r="A60" s="108"/>
      <c r="B60" s="116"/>
      <c r="C60" s="132"/>
      <c r="D60" s="111"/>
      <c r="E60" s="153"/>
    </row>
    <row r="61" spans="1:5" ht="12">
      <c r="A61" s="125"/>
      <c r="B61" s="130"/>
      <c r="C61" s="130"/>
      <c r="D61" s="127"/>
      <c r="E61"/>
    </row>
    <row r="62" spans="1:5" ht="12">
      <c r="A62" s="125"/>
      <c r="B62" s="130"/>
      <c r="C62" s="131"/>
      <c r="D62" s="127"/>
      <c r="E62" s="153"/>
    </row>
    <row r="63" spans="1:5" ht="12">
      <c r="A63" s="108"/>
      <c r="B63" s="116"/>
      <c r="C63" s="117"/>
      <c r="D63" s="111"/>
      <c r="E63" s="153"/>
    </row>
    <row r="64" spans="1:5" ht="12">
      <c r="A64" s="108"/>
      <c r="B64" s="116"/>
      <c r="C64" s="117"/>
      <c r="D64" s="111"/>
      <c r="E64" s="153"/>
    </row>
    <row r="65" spans="1:5" ht="12">
      <c r="A65" s="108"/>
      <c r="B65" s="116"/>
      <c r="C65" s="117"/>
      <c r="D65" s="111"/>
      <c r="E65" s="153"/>
    </row>
    <row r="66" spans="1:5" ht="12">
      <c r="A66" s="108"/>
      <c r="B66" s="116"/>
      <c r="C66" s="117"/>
      <c r="D66" s="111"/>
      <c r="E66" s="153"/>
    </row>
    <row r="67" spans="1:5" ht="12">
      <c r="A67" s="108"/>
      <c r="B67" s="116"/>
      <c r="C67" s="117"/>
      <c r="D67" s="111"/>
      <c r="E67" s="153"/>
    </row>
    <row r="68" spans="1:5" ht="12">
      <c r="A68" s="108"/>
      <c r="B68" s="116"/>
      <c r="C68" s="117"/>
      <c r="D68" s="111"/>
      <c r="E68" s="153"/>
    </row>
    <row r="69" spans="1:5" ht="12">
      <c r="A69" s="133"/>
      <c r="B69" s="134"/>
      <c r="C69" s="135"/>
      <c r="D69" s="136"/>
      <c r="E69" s="153"/>
    </row>
    <row r="70" spans="1:4" ht="51.75">
      <c r="A70" s="100" t="s">
        <v>22</v>
      </c>
      <c r="B70" s="101" t="s">
        <v>23</v>
      </c>
      <c r="C70" s="102" t="s">
        <v>24</v>
      </c>
      <c r="D70" s="103" t="s">
        <v>25</v>
      </c>
    </row>
    <row r="71" spans="1:4" ht="12">
      <c r="A71" s="108"/>
      <c r="B71" s="120" t="s">
        <v>137</v>
      </c>
      <c r="C71" s="121" t="s">
        <v>46</v>
      </c>
      <c r="D71" s="140">
        <v>0.8</v>
      </c>
    </row>
    <row r="72" spans="1:4" ht="12">
      <c r="A72" s="108">
        <f>A57+D71</f>
        <v>258.3</v>
      </c>
      <c r="B72" s="109" t="s">
        <v>144</v>
      </c>
      <c r="C72" s="110" t="s">
        <v>47</v>
      </c>
      <c r="D72" s="111">
        <v>9.2</v>
      </c>
    </row>
    <row r="73" spans="1:4" ht="12">
      <c r="A73" s="108">
        <f>A72+D72</f>
        <v>267.5</v>
      </c>
      <c r="B73" s="109" t="s">
        <v>139</v>
      </c>
      <c r="C73" s="110" t="s">
        <v>35</v>
      </c>
      <c r="D73" s="111">
        <v>34.4</v>
      </c>
    </row>
    <row r="74" spans="1:4" ht="12">
      <c r="A74" s="108">
        <f>A73+D73</f>
        <v>301.9</v>
      </c>
      <c r="B74" s="120" t="s">
        <v>144</v>
      </c>
      <c r="C74" s="121" t="s">
        <v>39</v>
      </c>
      <c r="D74" s="140">
        <v>1.6</v>
      </c>
    </row>
    <row r="75" spans="1:4" ht="12">
      <c r="A75" s="108">
        <f>A74+D74</f>
        <v>303.5</v>
      </c>
      <c r="B75" s="120" t="s">
        <v>137</v>
      </c>
      <c r="C75" s="121" t="s">
        <v>38</v>
      </c>
      <c r="D75" s="140">
        <v>0.3</v>
      </c>
    </row>
    <row r="76" spans="1:4" ht="12">
      <c r="A76" s="108">
        <f>A75+D75</f>
        <v>303.8</v>
      </c>
      <c r="B76" s="109" t="s">
        <v>144</v>
      </c>
      <c r="C76" s="110" t="s">
        <v>48</v>
      </c>
      <c r="D76" s="111">
        <v>1.5</v>
      </c>
    </row>
    <row r="77" spans="1:4" ht="12">
      <c r="A77" s="108">
        <f>A76+D76</f>
        <v>305.3</v>
      </c>
      <c r="B77" s="109" t="s">
        <v>139</v>
      </c>
      <c r="C77" s="110" t="s">
        <v>49</v>
      </c>
      <c r="D77" s="111">
        <v>59.5</v>
      </c>
    </row>
    <row r="78" spans="1:4" ht="12">
      <c r="A78" s="108"/>
      <c r="B78" s="120"/>
      <c r="C78" s="121"/>
      <c r="D78" s="140"/>
    </row>
    <row r="79" spans="1:4" ht="12">
      <c r="A79" s="125">
        <f>A77+D77</f>
        <v>364.8</v>
      </c>
      <c r="B79" s="130" t="s">
        <v>137</v>
      </c>
      <c r="C79" s="159" t="s">
        <v>123</v>
      </c>
      <c r="D79" s="127"/>
    </row>
    <row r="80" spans="1:4" ht="12">
      <c r="A80" s="125"/>
      <c r="B80" s="130"/>
      <c r="C80" s="159" t="s">
        <v>157</v>
      </c>
      <c r="D80" s="127"/>
    </row>
    <row r="81" spans="1:4" ht="12">
      <c r="A81" s="108"/>
      <c r="B81" s="116"/>
      <c r="C81" s="117"/>
      <c r="D81" s="111"/>
    </row>
    <row r="82" spans="1:4" ht="12">
      <c r="A82" s="108"/>
      <c r="B82" s="116" t="s">
        <v>137</v>
      </c>
      <c r="C82" s="132" t="s">
        <v>124</v>
      </c>
      <c r="D82" s="111">
        <v>10.9</v>
      </c>
    </row>
    <row r="83" spans="1:4" ht="12">
      <c r="A83" s="108">
        <f>A79+D82</f>
        <v>375.7</v>
      </c>
      <c r="B83" s="116" t="s">
        <v>139</v>
      </c>
      <c r="C83" s="117" t="s">
        <v>125</v>
      </c>
      <c r="D83" s="111">
        <v>5.5</v>
      </c>
    </row>
    <row r="84" spans="1:4" ht="12">
      <c r="A84" s="108">
        <f>A83+D83</f>
        <v>381.2</v>
      </c>
      <c r="B84" s="116" t="s">
        <v>137</v>
      </c>
      <c r="C84" s="117" t="s">
        <v>163</v>
      </c>
      <c r="D84" s="111">
        <v>17.9</v>
      </c>
    </row>
    <row r="85" spans="1:4" ht="12">
      <c r="A85" s="108">
        <f>A84+D84</f>
        <v>399.09999999999997</v>
      </c>
      <c r="B85" s="116" t="s">
        <v>137</v>
      </c>
      <c r="C85" s="117" t="s">
        <v>165</v>
      </c>
      <c r="D85" s="111">
        <v>0.7</v>
      </c>
    </row>
    <row r="86" spans="1:4" ht="12">
      <c r="A86" s="108">
        <f>A85+D85</f>
        <v>399.79999999999995</v>
      </c>
      <c r="B86" s="116" t="s">
        <v>139</v>
      </c>
      <c r="C86" s="117" t="s">
        <v>126</v>
      </c>
      <c r="D86" s="111">
        <v>10.5</v>
      </c>
    </row>
    <row r="87" spans="1:4" ht="12">
      <c r="A87" s="108">
        <f>A86+D86</f>
        <v>410.29999999999995</v>
      </c>
      <c r="B87" s="116" t="s">
        <v>139</v>
      </c>
      <c r="C87" s="146" t="s">
        <v>127</v>
      </c>
      <c r="D87" s="111">
        <v>0.8</v>
      </c>
    </row>
    <row r="88" spans="1:4" ht="12">
      <c r="A88" s="108"/>
      <c r="B88" s="116"/>
      <c r="C88" s="117"/>
      <c r="D88" s="111"/>
    </row>
    <row r="89" spans="1:4" ht="12">
      <c r="A89" s="125">
        <f>A87+D87</f>
        <v>411.09999999999997</v>
      </c>
      <c r="B89" s="131" t="s">
        <v>137</v>
      </c>
      <c r="C89" s="131" t="s">
        <v>128</v>
      </c>
      <c r="D89" s="111"/>
    </row>
    <row r="90" spans="1:4" ht="12">
      <c r="A90" s="108"/>
      <c r="B90" s="116"/>
      <c r="C90" s="131" t="s">
        <v>179</v>
      </c>
      <c r="D90" s="111"/>
    </row>
    <row r="91" spans="1:4" ht="12">
      <c r="A91" s="125"/>
      <c r="B91" s="131"/>
      <c r="C91" s="131"/>
      <c r="D91" s="127"/>
    </row>
    <row r="92" spans="1:4" ht="12">
      <c r="A92" s="133"/>
      <c r="B92" s="134"/>
      <c r="C92" s="151" t="s">
        <v>177</v>
      </c>
      <c r="D92" s="136"/>
    </row>
    <row r="93" spans="1:4" ht="12">
      <c r="A93" s="97"/>
      <c r="B93" s="98"/>
      <c r="C93" s="152"/>
      <c r="D93" s="97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3" sqref="A3"/>
    </sheetView>
  </sheetViews>
  <sheetFormatPr defaultColWidth="8.8515625" defaultRowHeight="12.75"/>
  <cols>
    <col min="1" max="1" width="12.421875" style="0" customWidth="1"/>
    <col min="2" max="2" width="8.8515625" style="0" customWidth="1"/>
    <col min="3" max="3" width="0.85546875" style="0" customWidth="1"/>
  </cols>
  <sheetData>
    <row r="1" spans="1:4" ht="15">
      <c r="A1" s="178" t="str">
        <f>Brevet_Number</f>
        <v>VI0304A</v>
      </c>
      <c r="B1" s="178"/>
      <c r="C1" s="178"/>
      <c r="D1" s="178"/>
    </row>
    <row r="2" spans="1:4" ht="15">
      <c r="A2" s="179" t="s">
        <v>129</v>
      </c>
      <c r="B2" s="179"/>
      <c r="C2" s="160"/>
      <c r="D2" s="161" t="s">
        <v>130</v>
      </c>
    </row>
    <row r="3" spans="1:5" ht="12">
      <c r="A3" s="68">
        <f>Riders!C4</f>
        <v>0</v>
      </c>
      <c r="B3" s="28">
        <f>Riders!B4</f>
        <v>0</v>
      </c>
      <c r="C3" s="28"/>
      <c r="D3" s="162">
        <f>Riders!O4</f>
        <v>0</v>
      </c>
      <c r="E3">
        <f>IF(ISBLANK(Riders!P4),"",Riders!P4)</f>
      </c>
    </row>
    <row r="4" spans="1:5" ht="12">
      <c r="A4" s="68">
        <f>Riders!C5</f>
        <v>0</v>
      </c>
      <c r="B4" s="28">
        <f>Riders!B5</f>
        <v>0</v>
      </c>
      <c r="C4" s="28"/>
      <c r="D4" s="162">
        <f>Riders!O5</f>
        <v>0</v>
      </c>
      <c r="E4">
        <f>IF(ISBLANK(Riders!P5),"",Riders!P5)</f>
      </c>
    </row>
    <row r="5" spans="1:5" ht="12">
      <c r="A5" s="68">
        <f>Riders!C6</f>
        <v>0</v>
      </c>
      <c r="B5" s="28">
        <f>Riders!B6</f>
        <v>0</v>
      </c>
      <c r="C5" s="28"/>
      <c r="D5" s="162">
        <f>Riders!O6</f>
        <v>0</v>
      </c>
      <c r="E5">
        <f>IF(ISBLANK(Riders!P6),"",Riders!P6)</f>
      </c>
    </row>
    <row r="6" spans="1:5" ht="12">
      <c r="A6" s="68">
        <f>Riders!C7</f>
        <v>0</v>
      </c>
      <c r="B6" s="28">
        <f>Riders!B7</f>
        <v>0</v>
      </c>
      <c r="C6" s="28"/>
      <c r="D6" s="162">
        <f>Riders!O7</f>
        <v>0</v>
      </c>
      <c r="E6">
        <f>IF(ISBLANK(Riders!P7),"",Riders!P7)</f>
      </c>
    </row>
    <row r="7" spans="1:5" ht="12">
      <c r="A7" s="68">
        <f>Riders!C8</f>
        <v>0</v>
      </c>
      <c r="B7" s="28">
        <f>Riders!B8</f>
        <v>0</v>
      </c>
      <c r="C7" s="28"/>
      <c r="D7" s="162">
        <f>Riders!O8</f>
        <v>0</v>
      </c>
      <c r="E7">
        <f>IF(ISBLANK(Riders!P8),"",Riders!P8)</f>
      </c>
    </row>
    <row r="8" spans="1:5" ht="12">
      <c r="A8" s="68">
        <f>Riders!C9</f>
        <v>0</v>
      </c>
      <c r="B8" s="28">
        <f>Riders!B9</f>
        <v>0</v>
      </c>
      <c r="C8" s="28"/>
      <c r="D8" s="162">
        <f>Riders!O9</f>
        <v>0</v>
      </c>
      <c r="E8">
        <f>IF(ISBLANK(Riders!P9),"",Riders!P9)</f>
      </c>
    </row>
    <row r="9" spans="1:5" ht="12">
      <c r="A9" s="68">
        <f>Riders!C10</f>
        <v>0</v>
      </c>
      <c r="B9" s="28">
        <f>Riders!B10</f>
        <v>0</v>
      </c>
      <c r="C9" s="28"/>
      <c r="D9" s="162">
        <f>Riders!O10</f>
        <v>0</v>
      </c>
      <c r="E9">
        <f>IF(ISBLANK(Riders!P10),"",Riders!P10)</f>
      </c>
    </row>
    <row r="10" spans="1:5" ht="12">
      <c r="A10" s="68">
        <f>Riders!C11</f>
        <v>0</v>
      </c>
      <c r="B10" s="28">
        <f>Riders!B11</f>
        <v>0</v>
      </c>
      <c r="C10" s="28"/>
      <c r="D10" s="162">
        <f>Riders!O11</f>
        <v>0</v>
      </c>
      <c r="E10">
        <f>IF(ISBLANK(Riders!P11),"",Riders!P11)</f>
      </c>
    </row>
    <row r="11" spans="1:4" ht="12">
      <c r="A11" s="73"/>
      <c r="B11" s="62"/>
      <c r="C11" s="62"/>
      <c r="D11" s="163"/>
    </row>
    <row r="13" ht="12">
      <c r="A13" t="s">
        <v>131</v>
      </c>
    </row>
    <row r="14" ht="12">
      <c r="A14" t="s">
        <v>132</v>
      </c>
    </row>
    <row r="15" ht="12">
      <c r="A15" t="s">
        <v>133</v>
      </c>
    </row>
    <row r="16" ht="12">
      <c r="A16" t="s">
        <v>134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&amp;"Arial,Regular"&amp;10Nanaimo Populaire
28th  March, 1999</oddHeader>
    <oddFooter>&amp;L&amp;F
&amp;A&amp;CPage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Sian Echard</cp:lastModifiedBy>
  <cp:lastPrinted>2013-07-04T18:13:40Z</cp:lastPrinted>
  <dcterms:created xsi:type="dcterms:W3CDTF">2013-07-05T16:46:29Z</dcterms:created>
  <dcterms:modified xsi:type="dcterms:W3CDTF">2013-07-05T16:46:30Z</dcterms:modified>
  <cp:category/>
  <cp:version/>
  <cp:contentType/>
  <cp:contentStatus/>
</cp:coreProperties>
</file>