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27980" windowHeight="22600" activeTab="3"/>
  </bookViews>
  <sheets>
    <sheet name="Control Entry" sheetId="1" r:id="rId1"/>
    <sheet name="Control Sheet " sheetId="2" r:id="rId2"/>
    <sheet name="Riders" sheetId="3" r:id="rId3"/>
    <sheet name="VI050C 050320" sheetId="4" r:id="rId4"/>
    <sheet name="Web sheet" sheetId="5" r:id="rId5"/>
    <sheet name="Web results" sheetId="6" r:id="rId6"/>
    <sheet name="Signon" sheetId="7" r:id="rId7"/>
  </sheets>
  <definedNames>
    <definedName name="Address_1">'Riders'!$E$2</definedName>
    <definedName name="Address_2">'Riders'!$F$2</definedName>
    <definedName name="brevet">'Control Entry'!$C$1</definedName>
    <definedName name="Brevet_Description">'Control Entry'!$B$3</definedName>
    <definedName name="Brevet_Length">'Control Entry'!$B$1</definedName>
    <definedName name="Brevet_Number">'Control Entry'!$B$4</definedName>
    <definedName name="City">'Riders'!$G$2</definedName>
    <definedName name="Close">'Control Entry'!$J$10:$J$29</definedName>
    <definedName name="Close_time">'Control Entry'!$L$10:$L$29</definedName>
    <definedName name="Control_1">'Control Entry'!$D$10:$L$10</definedName>
    <definedName name="Control_10">'Control Entry'!$D$19:$L$19</definedName>
    <definedName name="Control_11">'Control Entry'!$D$20:$L$20</definedName>
    <definedName name="Control_12">'Control Entry'!$D$21:$L$21</definedName>
    <definedName name="Control_13">'Control Entry'!$D$22:$L$22</definedName>
    <definedName name="Control_14">'Control Entry'!$D$23:$L$23</definedName>
    <definedName name="Control_15">'Control Entry'!$D$24:$L$24</definedName>
    <definedName name="Control_16">'Control Entry'!$D$25:$L$25</definedName>
    <definedName name="Control_17">'Control Entry'!$D$26:$L$26</definedName>
    <definedName name="Control_18">'Control Entry'!$D$27:$L$27</definedName>
    <definedName name="Control_19">'Control Entry'!$D$28:$L$28</definedName>
    <definedName name="Control_2">'Control Entry'!$D$11:$L$11</definedName>
    <definedName name="Control_20">'Control Entry'!$D$29:$L$29</definedName>
    <definedName name="Control_3">'Control Entry'!$D$12:$L$12</definedName>
    <definedName name="Control_4">'Control Entry'!$D$13:$L$13</definedName>
    <definedName name="Control_5">'Control Entry'!$D$14:$L$14</definedName>
    <definedName name="Control_6">'Control Entry'!$D$15:$L$15</definedName>
    <definedName name="Control_7">'Control Entry'!$D$16:$L$16</definedName>
    <definedName name="Control_8">'Control Entry'!$D$17:$L$17</definedName>
    <definedName name="Control_9">'Control Entry'!$D$18:$L$18</definedName>
    <definedName name="Country">'Riders'!$I$2</definedName>
    <definedName name="Distance">'Control Entry'!$D$10:$D$29</definedName>
    <definedName name="email">'Riders'!$N$2</definedName>
    <definedName name="Establishment_1">'Control Entry'!$F$10:$F$29</definedName>
    <definedName name="Establishment_2">'Control Entry'!$G$10:$G$29</definedName>
    <definedName name="Establishment_3">'Control Entry'!$H$10:$H$29</definedName>
    <definedName name="Fax">'Riders'!$M$2</definedName>
    <definedName name="First_Name">'Riders'!$C$2</definedName>
    <definedName name="Home_telephone">'Riders'!$K$2</definedName>
    <definedName name="HTML_CodePage" hidden="1">1252</definedName>
    <definedName name="HTML_Control" localSheetId="1" hidden="1">{"'Web sheet'!$A$1:$D$92"}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localSheetId="1" hidden="1">"'[VI0200A  Tour of Cowichan Valley.xls]Web sheet'!$A$1:$E$92"</definedName>
    <definedName name="HTML7_1" hidden="1">"'[VI0100B Nanaimo Populaire.xls]Web results'!$A$2:$D$30"</definedName>
    <definedName name="HTML7_10" hidden="1">"randos@island.net"</definedName>
    <definedName name="HTML7_11" hidden="1">1</definedName>
    <definedName name="HTML7_12" localSheetId="1" hidden="1">"C:\My Documents\Web Page\200km_route_sheet.htm"</definedName>
    <definedName name="HTML7_12" hidden="1">"C:\My Documents\Web Page\100km_results.htm"</definedName>
    <definedName name="HTML7_2" hidden="1">1</definedName>
    <definedName name="HTML7_3" localSheetId="1" hidden="1">"VI0200A  Tour of Cowichan Valley"</definedName>
    <definedName name="HTML7_3" hidden="1">"VI0100B Nanaimo Populaire"</definedName>
    <definedName name="HTML7_4" localSheetId="1" hidden="1">"Vancouver Island 200 km Brevet"</definedName>
    <definedName name="HTML7_4" hidden="1">"Ride Results"</definedName>
    <definedName name="HTML7_5" localSheetId="1" hidden="1">""</definedName>
    <definedName name="HTML7_5" hidden="1">"Results from March 15th, 1998"</definedName>
    <definedName name="HTML7_6" hidden="1">1</definedName>
    <definedName name="HTML7_7" hidden="1">1</definedName>
    <definedName name="HTML7_8" localSheetId="1" hidden="1">"97-11-23"</definedName>
    <definedName name="HTML7_8" hidden="1">"98-03-26"</definedName>
    <definedName name="HTML7_9" hidden="1">"Stephen Hinde"</definedName>
    <definedName name="HTML8_1" localSheetId="1" hidden="1">"'[VI0200A  Tour of Cowichan Valley.xls]Web results'!$A$2:$E$23"</definedName>
    <definedName name="HTML8_1" hidden="1">"'[VI0100B Nanaimo Populaire.xls]Web results'!$A$1:$J$17"</definedName>
    <definedName name="HTML8_10" hidden="1">"randos@island.net"</definedName>
    <definedName name="HTML8_11" hidden="1">1</definedName>
    <definedName name="HTML8_12" localSheetId="1" hidden="1">"C:\My Documents\Web Page\200km_results.htm"</definedName>
    <definedName name="HTML8_12" hidden="1">"C:\My Documents\Web Page\100km_results.htm"</definedName>
    <definedName name="HTML8_2" hidden="1">1</definedName>
    <definedName name="HTML8_3" localSheetId="1" hidden="1">"VI0200A  Tour of Cowichan Valley results"</definedName>
    <definedName name="HTML8_3" hidden="1">"VI0100B Nanaimo Populaire results"</definedName>
    <definedName name="HTML8_4" localSheetId="1" hidden="1">"200 km Brevet results"</definedName>
    <definedName name="HTML8_4" hidden="1">"Populaire results"</definedName>
    <definedName name="HTML8_5" localSheetId="1" hidden="1">""</definedName>
    <definedName name="HTML8_5" hidden="1">"100 km bicycle ride on 15th March, 1998.
Co-sponsored by the BC Randonneur Cycling Club and the Nanaimo Bicycle Club."</definedName>
    <definedName name="HTML8_6" hidden="1">1</definedName>
    <definedName name="HTML8_7" hidden="1">1</definedName>
    <definedName name="HTML8_8" localSheetId="1" hidden="1">"98-03-30"</definedName>
    <definedName name="HTML8_8" hidden="1">"98-03-26"</definedName>
    <definedName name="HTML8_9" hidden="1">"Stephen Hinde"</definedName>
    <definedName name="HTMLCount" localSheetId="1" hidden="1">7</definedName>
    <definedName name="HTMLCount" hidden="1">8</definedName>
    <definedName name="Initial">'Riders'!$D$2</definedName>
    <definedName name="Locale">'Control Entry'!$E$10:$E$29</definedName>
    <definedName name="Max_time">'Control Entry'!$B$2</definedName>
    <definedName name="Open">'Control Entry'!$I$10:$I$29</definedName>
    <definedName name="Open_time">'Control Entry'!$K$10:$K$29</definedName>
    <definedName name="Postal_Code">'Riders'!$J$2</definedName>
    <definedName name="_xlnm.Print_Area" localSheetId="6">'Signon'!$B$11:$G$74</definedName>
    <definedName name="_xlnm.Print_Area" localSheetId="3">'VI050C 050320'!$A$1:$I$49</definedName>
    <definedName name="_xlnm.Print_Titles" localSheetId="6">'Signon'!$1:$10</definedName>
    <definedName name="Province_State">'Riders'!$H$2</definedName>
    <definedName name="Start_date">'Control Entry'!$B$5</definedName>
    <definedName name="Start_time">'Control Entry'!$B$6</definedName>
    <definedName name="Surname">'Riders'!$B$2</definedName>
    <definedName name="Work_telephone">'Riders'!$L$2</definedName>
  </definedNames>
  <calcPr fullCalcOnLoad="1"/>
</workbook>
</file>

<file path=xl/comments1.xml><?xml version="1.0" encoding="utf-8"?>
<comments xmlns="http://schemas.openxmlformats.org/spreadsheetml/2006/main">
  <authors>
    <author>A satisfied Microsoft Office user</author>
  </authors>
  <commentList>
    <comment ref="B2" authorId="0">
      <text>
        <r>
          <rPr>
            <sz val="8"/>
            <rFont val="Tahoma"/>
            <family val="2"/>
          </rPr>
          <t>Partial result of closing time calculation to avoid limitation of only 7 nested functions</t>
        </r>
      </text>
    </comment>
  </commentList>
</comments>
</file>

<file path=xl/sharedStrings.xml><?xml version="1.0" encoding="utf-8"?>
<sst xmlns="http://schemas.openxmlformats.org/spreadsheetml/2006/main" count="479" uniqueCount="204">
  <si>
    <t>Brevet Length:</t>
  </si>
  <si>
    <t>Maximum Time:</t>
  </si>
  <si>
    <t>Brevet Description:</t>
  </si>
  <si>
    <t>Brevet Number:</t>
  </si>
  <si>
    <t>Start Date:</t>
  </si>
  <si>
    <t>Start Time:</t>
  </si>
  <si>
    <t>Control</t>
  </si>
  <si>
    <t>Distance</t>
  </si>
  <si>
    <t>Locale</t>
  </si>
  <si>
    <t>Establishment 1</t>
  </si>
  <si>
    <t>Establishment 2</t>
  </si>
  <si>
    <t>Establishment 3</t>
  </si>
  <si>
    <t>Open</t>
  </si>
  <si>
    <t>Close</t>
  </si>
  <si>
    <t>Open time</t>
  </si>
  <si>
    <t>Close time</t>
  </si>
  <si>
    <t>Control 1</t>
  </si>
  <si>
    <t>Control 2</t>
  </si>
  <si>
    <t>Control 3</t>
  </si>
  <si>
    <t>Control 4</t>
  </si>
  <si>
    <t>Control 5</t>
  </si>
  <si>
    <t>Control 6</t>
  </si>
  <si>
    <t>Control 7</t>
  </si>
  <si>
    <t>Control 8</t>
  </si>
  <si>
    <t>SECRET</t>
  </si>
  <si>
    <t>Control 9</t>
  </si>
  <si>
    <t>Control 10</t>
  </si>
  <si>
    <t>Control 11</t>
  </si>
  <si>
    <t>Control 12</t>
  </si>
  <si>
    <t>Control 13</t>
  </si>
  <si>
    <t>Control 14</t>
  </si>
  <si>
    <t>Control 15</t>
  </si>
  <si>
    <t>Control 16</t>
  </si>
  <si>
    <t>Control 17</t>
  </si>
  <si>
    <t>Control 18</t>
  </si>
  <si>
    <t>Control 19</t>
  </si>
  <si>
    <t>Control 20</t>
  </si>
  <si>
    <t>We thank you for verifying the passage of the Randonneur</t>
  </si>
  <si>
    <t>|</t>
  </si>
  <si>
    <t>DIST (km)</t>
  </si>
  <si>
    <t>Establishment</t>
  </si>
  <si>
    <t>Signature</t>
  </si>
  <si>
    <t>Time of Passage</t>
  </si>
  <si>
    <t>Control Card</t>
  </si>
  <si>
    <t>Name</t>
  </si>
  <si>
    <t>Address</t>
  </si>
  <si>
    <t>City</t>
  </si>
  <si>
    <t>Province/State</t>
  </si>
  <si>
    <t>Country</t>
  </si>
  <si>
    <t>Postal Code</t>
  </si>
  <si>
    <t>Telephone</t>
  </si>
  <si>
    <t>email</t>
  </si>
  <si>
    <t>Under the sanction of Cycling BC</t>
  </si>
  <si>
    <t>Founding member of LES RANDONNEURS MONDIAUX (1983)</t>
  </si>
  <si>
    <t>Each Randonneur must carry a Control Card, have it signed at the control between the opening and closing times, and return it to the organizer.</t>
  </si>
  <si>
    <t>Date</t>
  </si>
  <si>
    <t>Start time</t>
  </si>
  <si>
    <t>Finish time</t>
  </si>
  <si>
    <t>Elapsed time</t>
  </si>
  <si>
    <t>Rider's signature at completion</t>
  </si>
  <si>
    <t>Randonneur Committee Authorization</t>
  </si>
  <si>
    <t>Brevet No.</t>
  </si>
  <si>
    <t>Surname</t>
  </si>
  <si>
    <t>First Name</t>
  </si>
  <si>
    <t>Initial</t>
  </si>
  <si>
    <t>Address 1</t>
  </si>
  <si>
    <t>Address 2</t>
  </si>
  <si>
    <t>Home telephone</t>
  </si>
  <si>
    <t>Work telephone</t>
  </si>
  <si>
    <t>Fax</t>
  </si>
  <si>
    <t>Finish Time</t>
  </si>
  <si>
    <t>Rand Memb</t>
  </si>
  <si>
    <t>Pin</t>
  </si>
  <si>
    <t>R</t>
  </si>
  <si>
    <t>Turn</t>
  </si>
  <si>
    <t>L</t>
  </si>
  <si>
    <t>WALDBANK (stop sign)</t>
  </si>
  <si>
    <t>SUPERIOR (don't go down hill)</t>
  </si>
  <si>
    <t>WALL</t>
  </si>
  <si>
    <t>BRADLEY (at T)</t>
  </si>
  <si>
    <t>VANDENHOEK (at right bend)</t>
  </si>
  <si>
    <t>MILLSTONE (no choice)</t>
  </si>
  <si>
    <t>HARBY W. (no choice)</t>
  </si>
  <si>
    <t>St. GEORGE (at stop)</t>
  </si>
  <si>
    <t>PHILIP</t>
  </si>
  <si>
    <t>AULDS (at stop sign)</t>
  </si>
  <si>
    <t>PRINCESS ROYAL</t>
  </si>
  <si>
    <t>AULDS (first right)</t>
  </si>
  <si>
    <t>ESTEVAN (follow main rd.)</t>
  </si>
  <si>
    <t>DEPARTURE BAY (stop)</t>
  </si>
  <si>
    <t>MOSTAR (stop sign)</t>
  </si>
  <si>
    <t>STEPHENSON PT.(Biological Stn.)</t>
  </si>
  <si>
    <t>WAVECREST (1st left)</t>
  </si>
  <si>
    <t>SHEARWATER (1st right)</t>
  </si>
  <si>
    <t>PLANTA (at Budehaven)</t>
  </si>
  <si>
    <t>HAMMOND BAY (stop sign)</t>
  </si>
  <si>
    <t>BRICKYARD (clinic)</t>
  </si>
  <si>
    <t>HIGHWAY #1</t>
  </si>
  <si>
    <t>YELLOW POINT (out of store)</t>
  </si>
  <si>
    <t>CEDAR (at Y)</t>
  </si>
  <si>
    <t>EXTENSION (after underpass)</t>
  </si>
  <si>
    <t>WOOBANK (first right)</t>
  </si>
  <si>
    <t>EXTENSION (after gravel pit)</t>
  </si>
  <si>
    <t>HOLDEN-CORSO (at stop)</t>
  </si>
  <si>
    <t>GODFREY (sharp@top of dip)</t>
  </si>
  <si>
    <t>WHITE RAPIDS (at stop--no sign)</t>
  </si>
  <si>
    <t>S. WELLINGTON(to Hwy #1)(RR X)</t>
  </si>
  <si>
    <t>MacMILLAN (at store)</t>
  </si>
  <si>
    <t>HARMAC (at T)</t>
  </si>
  <si>
    <t>CEDAR (at Nanaimo R)</t>
  </si>
  <si>
    <t>HALLBERG (no exit ahead)</t>
  </si>
  <si>
    <t>TIMBERLAND (at stop)</t>
  </si>
  <si>
    <t>CAMERON (first left)</t>
  </si>
  <si>
    <t>TAKALA (top of hill)</t>
  </si>
  <si>
    <t>THOMAS (first left after RR X)</t>
  </si>
  <si>
    <t>CEDAR (to lights)</t>
  </si>
  <si>
    <t>CONTROL #1</t>
  </si>
  <si>
    <t>Chuckwagon Store, Yellow Point</t>
  </si>
  <si>
    <t>!!! CONGRATULATIONS !!!</t>
  </si>
  <si>
    <t>RIDER</t>
  </si>
  <si>
    <t>TIME</t>
  </si>
  <si>
    <t>Note:  1.  distance in time column represents incomplete ride.</t>
  </si>
  <si>
    <t>………2.  time is in hours and minutes.</t>
  </si>
  <si>
    <t>CAUTION:  ALL BICYCLING ACTIVITIES CAN BE HAZARDOUS</t>
  </si>
  <si>
    <t xml:space="preserve">You must rely upon your own judgement at all times and you must accept sole responsibility for the consequences of your actions.                                </t>
  </si>
  <si>
    <t>You are advised that this club is organized by volunteer, amateur personnel.  While cycling is mainly a safe and enjoyable sport, there is a risk of discomfort, physical injury, or death.</t>
  </si>
  <si>
    <t>I, the undersigned, acknowledge that I am freely and voluntarily accepting any risk of loss, injury, or death arising from my participation in the events and acrivities of the Nanaimo Bicycle Club, and I forever release</t>
  </si>
  <si>
    <t>and discharge the Canadian Cycling Association, Cycling BC, the Nanaimo Bicycle Club, the BC Randonneurs, and the leaders and organizers of these groups from and against any liability for death, loss, or</t>
  </si>
  <si>
    <t xml:space="preserve"> injury to myself, however caused, and also from and against any liability for lossof or damage to my equipment, however caused.</t>
  </si>
  <si>
    <t>CAUTION:  SAFE CONDITION OF BICYCLE IS PARTICIPANT'S RESPONSIBILITY</t>
  </si>
  <si>
    <t xml:space="preserve">JINGLE POT </t>
  </si>
  <si>
    <t>BC Randonneurs</t>
  </si>
  <si>
    <t>Nanaimo Bicycle Club</t>
  </si>
  <si>
    <t>At  km</t>
  </si>
  <si>
    <t>onto  ROUTE</t>
  </si>
  <si>
    <t xml:space="preserve"> then   Go km</t>
  </si>
  <si>
    <t>Go to Control #1</t>
  </si>
  <si>
    <t>Go to Finish</t>
  </si>
  <si>
    <t>Return to start</t>
  </si>
  <si>
    <t>Go to 25 km point</t>
  </si>
  <si>
    <t>Go to 75 km point</t>
  </si>
  <si>
    <t>Go to 100 km point</t>
  </si>
  <si>
    <t>SO</t>
  </si>
  <si>
    <t>l - 1/2 hr - no lights</t>
  </si>
  <si>
    <t>f - 1/2 hr - no fenders</t>
  </si>
  <si>
    <t>e - rode early</t>
  </si>
  <si>
    <t>d - rode late</t>
  </si>
  <si>
    <t>r - 1/2 hr - route violation</t>
  </si>
  <si>
    <t>DOVER (at McGirr)</t>
  </si>
  <si>
    <t>METRAL (traffic light)</t>
  </si>
  <si>
    <t>pass Rutherford (traffic light)</t>
  </si>
  <si>
    <t>DICKENSON (traffic light)</t>
  </si>
  <si>
    <t>Cross Nanaimo Pkwy (Hwy #19)</t>
  </si>
  <si>
    <t>Cross Island Hwy (Hwy #19)</t>
  </si>
  <si>
    <t>Cross Terminal (Hwy #19A)</t>
  </si>
  <si>
    <t>Cross Bowen (traffic light)</t>
  </si>
  <si>
    <t>Cross Highway #1 (traffic light)</t>
  </si>
  <si>
    <t>ROUTE 1 (Hwy #1)</t>
  </si>
  <si>
    <t>NANAIMO RIVER (2nd left)</t>
  </si>
  <si>
    <t>Tenth@Lawlor</t>
  </si>
  <si>
    <t>LAWLOR</t>
  </si>
  <si>
    <t>TENTH</t>
  </si>
  <si>
    <t>DOUGLAS (2nd right)</t>
  </si>
  <si>
    <t>NINTH (first left)</t>
  </si>
  <si>
    <t>PARK (first right)</t>
  </si>
  <si>
    <t>PINE (at Albion)</t>
  </si>
  <si>
    <t>BRUCE (no choice)</t>
  </si>
  <si>
    <t>WENTWORTH (2nd right)</t>
  </si>
  <si>
    <t>MACHLEARY (at park)</t>
  </si>
  <si>
    <t>THIRD</t>
  </si>
  <si>
    <t>WAKESIAH (traffic light)</t>
  </si>
  <si>
    <t>SIXTH (no choice)</t>
  </si>
  <si>
    <t>BRUCE (2nd stop)</t>
  </si>
  <si>
    <t>TENTH (no choice)</t>
  </si>
  <si>
    <t>TRANSCANADA (Hwy #1)(light)</t>
  </si>
  <si>
    <t>TENTH (2nd traffic light)</t>
  </si>
  <si>
    <t>Notes</t>
  </si>
  <si>
    <t>T - tandem</t>
  </si>
  <si>
    <t>R - recumbent</t>
  </si>
  <si>
    <t>YELLOW POINT (at store)</t>
  </si>
  <si>
    <t>VOWELS (at Tempo)</t>
  </si>
  <si>
    <t>GODFREY (at stop)</t>
  </si>
  <si>
    <t>CRANBERRY (next traffic light)</t>
  </si>
  <si>
    <t>HAMMOND BAY (lights)</t>
  </si>
  <si>
    <t>Country Grocer Mall, Chase River</t>
  </si>
  <si>
    <t>Parking lot lane (11th Ave)</t>
  </si>
  <si>
    <t>Lantzville Market, Lantzville</t>
  </si>
  <si>
    <t>LANTZVILLE (from Market)</t>
  </si>
  <si>
    <t>CONTROL #2</t>
  </si>
  <si>
    <t>CONTROL #3</t>
  </si>
  <si>
    <t>Mall Parking Lot</t>
  </si>
  <si>
    <t>Serious Coffee, Chase River</t>
  </si>
  <si>
    <t>FINISH:  Serious Coffee</t>
  </si>
  <si>
    <t>START:  Serious Coffee</t>
  </si>
  <si>
    <t>Lantzville</t>
  </si>
  <si>
    <t>Chase River</t>
  </si>
  <si>
    <t>Serious Coffee</t>
  </si>
  <si>
    <t>Lantzville Market</t>
  </si>
  <si>
    <t>Lantzville Road</t>
  </si>
  <si>
    <t>Country Grocer Mall</t>
  </si>
  <si>
    <t>VI0050C</t>
  </si>
  <si>
    <t>Nanaimo Populaire:  Nanaimo--Lantzville--Nanaimo</t>
  </si>
  <si>
    <t>cel 250-713-4943</t>
  </si>
  <si>
    <t>cel (2) 250-713-4454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</si>
</sst>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 h:mm"/>
    <numFmt numFmtId="173" formatCode="dd/mmm/yy\ hh:mm"/>
    <numFmt numFmtId="174" formatCode="dd/mmm/yy\ hh:mm\ AM/PM"/>
    <numFmt numFmtId="175" formatCode="m/d"/>
    <numFmt numFmtId="176" formatCode="d/mmm/yy"/>
    <numFmt numFmtId="177" formatCode="dddd"/>
    <numFmt numFmtId="178" formatCode="0.0"/>
    <numFmt numFmtId="179" formatCode="mmmm\ d\,\ yyyy"/>
    <numFmt numFmtId="180" formatCode="[&lt;=9999999]###\-####;\(###\)\ ###\-####"/>
  </numFmts>
  <fonts count="53">
    <font>
      <sz val="10"/>
      <name val="Arial"/>
      <family val="0"/>
    </font>
    <font>
      <b/>
      <sz val="10"/>
      <name val="Arial"/>
      <family val="0"/>
    </font>
    <font>
      <i/>
      <sz val="10"/>
      <name val="Arial"/>
      <family val="0"/>
    </font>
    <font>
      <b/>
      <i/>
      <sz val="10"/>
      <name val="Arial"/>
      <family val="0"/>
    </font>
    <font>
      <i/>
      <sz val="12"/>
      <name val="Arial"/>
      <family val="2"/>
    </font>
    <font>
      <sz val="12"/>
      <name val="Arial"/>
      <family val="2"/>
    </font>
    <font>
      <b/>
      <sz val="12"/>
      <name val="Arial"/>
      <family val="2"/>
    </font>
    <font>
      <i/>
      <sz val="16"/>
      <name val="Arial"/>
      <family val="2"/>
    </font>
    <font>
      <sz val="14"/>
      <name val="Arial"/>
      <family val="2"/>
    </font>
    <font>
      <sz val="20"/>
      <name val="Arial"/>
      <family val="2"/>
    </font>
    <font>
      <sz val="36"/>
      <name val="Arial"/>
      <family val="2"/>
    </font>
    <font>
      <sz val="16"/>
      <name val="Arial"/>
      <family val="2"/>
    </font>
    <font>
      <i/>
      <sz val="14"/>
      <name val="Arial"/>
      <family val="2"/>
    </font>
    <font>
      <sz val="10"/>
      <color indexed="12"/>
      <name val="Arial"/>
      <family val="2"/>
    </font>
    <font>
      <sz val="8"/>
      <name val="Tahoma"/>
      <family val="2"/>
    </font>
    <font>
      <sz val="12"/>
      <name val="Arial Black"/>
      <family val="2"/>
    </font>
    <font>
      <sz val="14"/>
      <name val="Arial Narrow"/>
      <family val="2"/>
    </font>
    <font>
      <b/>
      <sz val="14"/>
      <name val="Arial Narrow"/>
      <family val="2"/>
    </font>
    <font>
      <sz val="1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medium"/>
      <right style="medium"/>
      <top style="medium"/>
      <bottom style="medium"/>
    </border>
    <border>
      <left style="medium"/>
      <right style="thin"/>
      <top>
        <color indexed="63"/>
      </top>
      <bottom style="medium"/>
    </border>
    <border>
      <left>
        <color indexed="63"/>
      </left>
      <right style="thin"/>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hair"/>
    </border>
    <border>
      <left style="medium"/>
      <right style="medium"/>
      <top style="thin"/>
      <bottom style="medium"/>
    </border>
    <border>
      <left style="thin"/>
      <right>
        <color indexed="63"/>
      </right>
      <top style="medium"/>
      <bottom style="medium"/>
    </border>
    <border>
      <left style="thin"/>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color indexed="63"/>
      </top>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color indexed="63"/>
      </top>
      <bottom style="medium"/>
    </border>
    <border>
      <left style="medium"/>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9">
    <xf numFmtId="0" fontId="0" fillId="0" borderId="0" xfId="0" applyAlignment="1">
      <alignment/>
    </xf>
    <xf numFmtId="20" fontId="0" fillId="0" borderId="0" xfId="0" applyNumberFormat="1" applyAlignment="1">
      <alignment/>
    </xf>
    <xf numFmtId="0" fontId="0" fillId="0" borderId="0" xfId="0" applyAlignment="1">
      <alignment horizontal="right"/>
    </xf>
    <xf numFmtId="0" fontId="0" fillId="0" borderId="10" xfId="0" applyBorder="1" applyAlignment="1">
      <alignment horizontal="centerContinuous"/>
    </xf>
    <xf numFmtId="0" fontId="0" fillId="0" borderId="11" xfId="0" applyBorder="1" applyAlignment="1">
      <alignment horizontal="centerContinuous"/>
    </xf>
    <xf numFmtId="0" fontId="0" fillId="0" borderId="0" xfId="0" applyAlignment="1" applyProtection="1">
      <alignment/>
      <protection hidden="1"/>
    </xf>
    <xf numFmtId="174" fontId="0" fillId="0" borderId="0" xfId="0" applyNumberFormat="1" applyBorder="1" applyAlignment="1">
      <alignment/>
    </xf>
    <xf numFmtId="174" fontId="0" fillId="0" borderId="0" xfId="0" applyNumberFormat="1" applyBorder="1" applyAlignment="1">
      <alignment horizontal="center" vertical="center" wrapText="1"/>
    </xf>
    <xf numFmtId="0" fontId="4" fillId="0" borderId="0" xfId="0" applyFont="1" applyAlignment="1">
      <alignment horizontal="centerContinuous" vertical="center"/>
    </xf>
    <xf numFmtId="0" fontId="0" fillId="33" borderId="12" xfId="0" applyFill="1" applyBorder="1" applyAlignment="1">
      <alignment horizontal="centerContinuous"/>
    </xf>
    <xf numFmtId="0" fontId="0" fillId="33" borderId="10" xfId="0" applyFill="1" applyBorder="1" applyAlignment="1">
      <alignment horizontal="centerContinuous"/>
    </xf>
    <xf numFmtId="0" fontId="0" fillId="33" borderId="11" xfId="0" applyFill="1" applyBorder="1" applyAlignment="1">
      <alignment horizontal="centerContinuous"/>
    </xf>
    <xf numFmtId="0" fontId="0" fillId="33" borderId="0" xfId="0"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1" xfId="0" applyFill="1" applyBorder="1" applyAlignment="1">
      <alignment/>
    </xf>
    <xf numFmtId="0" fontId="7" fillId="0" borderId="0" xfId="0" applyFont="1" applyBorder="1" applyAlignment="1">
      <alignment horizontal="centerContinuous" vertical="center"/>
    </xf>
    <xf numFmtId="0" fontId="8" fillId="33" borderId="15" xfId="0" applyFont="1" applyFill="1" applyBorder="1" applyAlignment="1">
      <alignment horizontal="center" wrapText="1"/>
    </xf>
    <xf numFmtId="0" fontId="8" fillId="33" borderId="15" xfId="0" applyFont="1" applyFill="1" applyBorder="1" applyAlignment="1">
      <alignment horizontal="center"/>
    </xf>
    <xf numFmtId="0" fontId="0" fillId="0" borderId="16" xfId="0" applyBorder="1" applyAlignment="1" applyProtection="1">
      <alignment/>
      <protection locked="0"/>
    </xf>
    <xf numFmtId="0" fontId="0" fillId="0" borderId="17" xfId="0" applyBorder="1" applyAlignment="1" applyProtection="1">
      <alignment/>
      <protection locked="0"/>
    </xf>
    <xf numFmtId="0" fontId="0" fillId="33" borderId="18" xfId="0" applyFill="1" applyBorder="1" applyAlignment="1">
      <alignment horizontal="right"/>
    </xf>
    <xf numFmtId="20" fontId="0" fillId="0" borderId="19" xfId="0" applyNumberFormat="1" applyBorder="1" applyAlignment="1" applyProtection="1">
      <alignment/>
      <protection locked="0"/>
    </xf>
    <xf numFmtId="0" fontId="0" fillId="33" borderId="20" xfId="0" applyFill="1" applyBorder="1" applyAlignment="1">
      <alignment horizontal="right"/>
    </xf>
    <xf numFmtId="0" fontId="0" fillId="0" borderId="21" xfId="0" applyBorder="1" applyAlignment="1" applyProtection="1">
      <alignment/>
      <protection locked="0"/>
    </xf>
    <xf numFmtId="0" fontId="0" fillId="33" borderId="22" xfId="0" applyFill="1" applyBorder="1" applyAlignment="1">
      <alignment horizontal="right"/>
    </xf>
    <xf numFmtId="0" fontId="0" fillId="33" borderId="23" xfId="0" applyFill="1" applyBorder="1" applyAlignment="1">
      <alignment/>
    </xf>
    <xf numFmtId="15" fontId="0" fillId="0" borderId="23" xfId="0" applyNumberFormat="1"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10" xfId="0" applyBorder="1" applyAlignment="1" applyProtection="1">
      <alignment horizontal="centerContinuous"/>
      <protection hidden="1"/>
    </xf>
    <xf numFmtId="0" fontId="0" fillId="0" borderId="0" xfId="0" applyAlignment="1">
      <alignment vertical="top" textRotation="90"/>
    </xf>
    <xf numFmtId="0" fontId="0" fillId="0" borderId="0" xfId="0"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11" fillId="0" borderId="0" xfId="0" applyFont="1" applyAlignment="1">
      <alignment/>
    </xf>
    <xf numFmtId="0" fontId="11" fillId="0" borderId="0" xfId="0" applyFont="1" applyAlignment="1">
      <alignment horizontal="centerContinuous" vertical="justify" wrapText="1"/>
    </xf>
    <xf numFmtId="0" fontId="7" fillId="0" borderId="0" xfId="0" applyFont="1" applyAlignment="1">
      <alignment horizontal="centerContinuous" vertical="justify" wrapText="1"/>
    </xf>
    <xf numFmtId="0" fontId="12" fillId="0" borderId="0" xfId="0" applyFont="1" applyAlignment="1">
      <alignment horizontal="centerContinuous" vertical="justify"/>
    </xf>
    <xf numFmtId="0" fontId="11" fillId="0" borderId="0" xfId="0" applyFont="1" applyAlignment="1">
      <alignment horizontal="centerContinuous" vertical="center" wrapText="1"/>
    </xf>
    <xf numFmtId="0" fontId="11" fillId="0" borderId="0" xfId="0" applyFont="1" applyAlignment="1">
      <alignment horizontal="centerContinuous" vertical="center"/>
    </xf>
    <xf numFmtId="0" fontId="0" fillId="0" borderId="26" xfId="0" applyBorder="1" applyAlignment="1">
      <alignment/>
    </xf>
    <xf numFmtId="0" fontId="8" fillId="0" borderId="0" xfId="0" applyFont="1" applyAlignment="1">
      <alignment horizontal="centerContinuous" vertical="center" wrapText="1"/>
    </xf>
    <xf numFmtId="179" fontId="11" fillId="0" borderId="26" xfId="0" applyNumberFormat="1" applyFont="1" applyBorder="1" applyAlignment="1">
      <alignment horizontal="centerContinuous"/>
    </xf>
    <xf numFmtId="0" fontId="5" fillId="0" borderId="0" xfId="0" applyFont="1" applyAlignment="1">
      <alignment horizontal="centerContinuous" vertical="top"/>
    </xf>
    <xf numFmtId="0" fontId="0" fillId="0" borderId="27" xfId="0" applyBorder="1" applyAlignment="1">
      <alignment/>
    </xf>
    <xf numFmtId="0" fontId="0" fillId="0" borderId="28" xfId="0" applyBorder="1" applyAlignment="1">
      <alignment/>
    </xf>
    <xf numFmtId="0" fontId="5" fillId="0" borderId="0" xfId="0" applyFont="1" applyAlignment="1">
      <alignment horizontal="centerContinuous" wrapText="1"/>
    </xf>
    <xf numFmtId="0" fontId="0" fillId="0" borderId="29" xfId="0" applyBorder="1" applyAlignment="1">
      <alignment/>
    </xf>
    <xf numFmtId="0" fontId="11" fillId="0" borderId="26" xfId="0" applyFont="1" applyBorder="1" applyAlignment="1" applyProtection="1">
      <alignment/>
      <protection locked="0"/>
    </xf>
    <xf numFmtId="0" fontId="0" fillId="0" borderId="26" xfId="0" applyBorder="1" applyAlignment="1" applyProtection="1">
      <alignment/>
      <protection locked="0"/>
    </xf>
    <xf numFmtId="0" fontId="11" fillId="0" borderId="26" xfId="0" applyFont="1" applyBorder="1" applyAlignment="1" applyProtection="1">
      <alignment horizontal="centerContinuous"/>
      <protection locked="0"/>
    </xf>
    <xf numFmtId="0" fontId="11" fillId="0" borderId="26" xfId="0" applyFont="1" applyBorder="1" applyAlignment="1" applyProtection="1">
      <alignment horizontal="centerContinuous"/>
      <protection/>
    </xf>
    <xf numFmtId="0" fontId="11" fillId="0" borderId="26" xfId="0" applyFont="1" applyBorder="1" applyAlignment="1" applyProtection="1">
      <alignment/>
      <protection/>
    </xf>
    <xf numFmtId="0" fontId="11" fillId="0" borderId="0" xfId="0" applyFont="1" applyAlignment="1" applyProtection="1">
      <alignment/>
      <protection/>
    </xf>
    <xf numFmtId="0" fontId="0" fillId="0" borderId="0" xfId="0" applyAlignment="1" applyProtection="1">
      <alignment/>
      <protection/>
    </xf>
    <xf numFmtId="0" fontId="0" fillId="0" borderId="26" xfId="0" applyBorder="1" applyAlignment="1" applyProtection="1">
      <alignment/>
      <protection/>
    </xf>
    <xf numFmtId="0" fontId="8" fillId="0" borderId="0" xfId="0" applyFont="1" applyAlignment="1" applyProtection="1">
      <alignment horizontal="centerContinuous" vertical="center" wrapText="1"/>
      <protection/>
    </xf>
    <xf numFmtId="20" fontId="8" fillId="0" borderId="0" xfId="0" applyNumberFormat="1" applyFont="1" applyAlignment="1" applyProtection="1">
      <alignment horizontal="centerContinuous" vertical="center" wrapText="1"/>
      <protection/>
    </xf>
    <xf numFmtId="0" fontId="5" fillId="0" borderId="0" xfId="0" applyFont="1" applyAlignment="1" applyProtection="1">
      <alignment horizontal="centerContinuous" wrapText="1"/>
      <protection/>
    </xf>
    <xf numFmtId="0" fontId="0" fillId="0" borderId="26" xfId="0" applyBorder="1" applyAlignment="1" applyProtection="1">
      <alignment horizontal="centerContinuous"/>
      <protection/>
    </xf>
    <xf numFmtId="0" fontId="5" fillId="0" borderId="0" xfId="0" applyFont="1" applyAlignment="1" applyProtection="1">
      <alignment horizontal="centerContinuous" vertical="top"/>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0" fontId="0" fillId="0" borderId="32" xfId="0" applyBorder="1" applyAlignment="1" applyProtection="1">
      <alignment/>
      <protection/>
    </xf>
    <xf numFmtId="0" fontId="0" fillId="0" borderId="29" xfId="0" applyBorder="1" applyAlignment="1" applyProtection="1">
      <alignment/>
      <protection/>
    </xf>
    <xf numFmtId="0" fontId="0" fillId="0" borderId="19"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horizontal="centerContinuous"/>
      <protection hidden="1"/>
    </xf>
    <xf numFmtId="0" fontId="0" fillId="0" borderId="0" xfId="0" applyBorder="1" applyAlignment="1">
      <alignment horizontal="centerContinuous"/>
    </xf>
    <xf numFmtId="49" fontId="0" fillId="0" borderId="25"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49" fontId="0" fillId="0" borderId="17" xfId="0" applyNumberFormat="1" applyBorder="1" applyAlignment="1" applyProtection="1">
      <alignment horizontal="center"/>
      <protection locked="0"/>
    </xf>
    <xf numFmtId="49" fontId="0" fillId="0" borderId="19" xfId="0" applyNumberFormat="1" applyBorder="1" applyAlignment="1" applyProtection="1">
      <alignment horizontal="center"/>
      <protection locked="0"/>
    </xf>
    <xf numFmtId="0" fontId="0" fillId="0" borderId="33" xfId="0" applyBorder="1" applyAlignment="1">
      <alignment/>
    </xf>
    <xf numFmtId="49" fontId="0" fillId="0" borderId="26" xfId="0" applyNumberFormat="1" applyBorder="1" applyAlignment="1">
      <alignment horizontal="center"/>
    </xf>
    <xf numFmtId="49" fontId="0" fillId="0" borderId="26" xfId="0" applyNumberFormat="1" applyBorder="1" applyAlignment="1">
      <alignment horizontal="left"/>
    </xf>
    <xf numFmtId="178" fontId="0" fillId="0" borderId="26" xfId="0" applyNumberFormat="1" applyBorder="1" applyAlignment="1">
      <alignment horizontal="right"/>
    </xf>
    <xf numFmtId="178" fontId="0" fillId="0" borderId="0" xfId="0" applyNumberFormat="1" applyAlignment="1">
      <alignment horizontal="right"/>
    </xf>
    <xf numFmtId="49" fontId="0" fillId="0" borderId="0" xfId="0" applyNumberFormat="1" applyAlignment="1">
      <alignment horizontal="center"/>
    </xf>
    <xf numFmtId="49" fontId="0" fillId="0" borderId="0" xfId="0" applyNumberFormat="1" applyAlignment="1">
      <alignment horizontal="left"/>
    </xf>
    <xf numFmtId="180" fontId="1" fillId="33" borderId="15" xfId="0" applyNumberFormat="1" applyFont="1" applyFill="1" applyBorder="1" applyAlignment="1">
      <alignment/>
    </xf>
    <xf numFmtId="180" fontId="0" fillId="0" borderId="0" xfId="0" applyNumberFormat="1" applyAlignment="1">
      <alignment/>
    </xf>
    <xf numFmtId="180" fontId="1" fillId="33" borderId="15" xfId="0" applyNumberFormat="1" applyFont="1" applyFill="1" applyBorder="1" applyAlignment="1">
      <alignment horizontal="center"/>
    </xf>
    <xf numFmtId="180" fontId="11" fillId="0" borderId="26" xfId="0" applyNumberFormat="1" applyFont="1" applyBorder="1" applyAlignment="1" applyProtection="1">
      <alignment horizontal="centerContinuous"/>
      <protection/>
    </xf>
    <xf numFmtId="0" fontId="1" fillId="33" borderId="15" xfId="0" applyFont="1" applyFill="1" applyBorder="1" applyAlignment="1">
      <alignment/>
    </xf>
    <xf numFmtId="0" fontId="1" fillId="33" borderId="15" xfId="0" applyFont="1" applyFill="1" applyBorder="1" applyAlignment="1">
      <alignment horizontal="center"/>
    </xf>
    <xf numFmtId="0" fontId="0" fillId="0" borderId="0" xfId="0" applyFont="1" applyAlignment="1">
      <alignment/>
    </xf>
    <xf numFmtId="0" fontId="0" fillId="0" borderId="22" xfId="0" applyFont="1" applyBorder="1" applyAlignment="1" applyProtection="1">
      <alignment/>
      <protection locked="0"/>
    </xf>
    <xf numFmtId="180" fontId="0" fillId="0" borderId="22" xfId="0" applyNumberFormat="1" applyFont="1" applyBorder="1" applyAlignment="1" applyProtection="1">
      <alignment/>
      <protection locked="0"/>
    </xf>
    <xf numFmtId="0" fontId="0" fillId="0" borderId="22" xfId="0" applyFont="1" applyFill="1" applyBorder="1" applyAlignment="1" applyProtection="1">
      <alignment/>
      <protection locked="0"/>
    </xf>
    <xf numFmtId="180" fontId="0" fillId="0" borderId="22" xfId="0" applyNumberFormat="1" applyFont="1" applyFill="1" applyBorder="1" applyAlignment="1" applyProtection="1">
      <alignment/>
      <protection locked="0"/>
    </xf>
    <xf numFmtId="0" fontId="1" fillId="33" borderId="15" xfId="0" applyFont="1" applyFill="1" applyBorder="1" applyAlignment="1">
      <alignment wrapText="1"/>
    </xf>
    <xf numFmtId="0" fontId="0" fillId="34" borderId="22" xfId="0" applyFont="1" applyFill="1" applyBorder="1" applyAlignment="1">
      <alignment/>
    </xf>
    <xf numFmtId="180" fontId="0" fillId="34" borderId="22" xfId="0" applyNumberFormat="1" applyFont="1" applyFill="1" applyBorder="1" applyAlignment="1" applyProtection="1">
      <alignment/>
      <protection locked="0"/>
    </xf>
    <xf numFmtId="0" fontId="0" fillId="0" borderId="0" xfId="0" applyFont="1" applyAlignment="1" applyProtection="1">
      <alignment/>
      <protection locked="0"/>
    </xf>
    <xf numFmtId="0" fontId="0" fillId="0" borderId="0" xfId="0" applyAlignment="1">
      <alignment horizontal="centerContinuous"/>
    </xf>
    <xf numFmtId="0" fontId="0" fillId="0" borderId="0" xfId="0" applyAlignment="1">
      <alignment horizontal="centerContinuous" wrapText="1"/>
    </xf>
    <xf numFmtId="0" fontId="0" fillId="0" borderId="20" xfId="0" applyFont="1" applyBorder="1" applyAlignment="1" applyProtection="1">
      <alignment/>
      <protection locked="0"/>
    </xf>
    <xf numFmtId="0" fontId="0" fillId="0" borderId="0" xfId="0" applyBorder="1" applyAlignment="1">
      <alignment horizontal="center"/>
    </xf>
    <xf numFmtId="0" fontId="0" fillId="0" borderId="0" xfId="0" applyBorder="1" applyAlignment="1">
      <alignment/>
    </xf>
    <xf numFmtId="0" fontId="0" fillId="0" borderId="22" xfId="0" applyFont="1" applyBorder="1" applyAlignment="1" applyProtection="1">
      <alignment horizontal="left"/>
      <protection locked="0"/>
    </xf>
    <xf numFmtId="0" fontId="0" fillId="0" borderId="0" xfId="0" applyAlignment="1">
      <alignment horizontal="center"/>
    </xf>
    <xf numFmtId="0" fontId="1" fillId="33" borderId="15" xfId="0" applyFont="1" applyFill="1" applyBorder="1" applyAlignment="1">
      <alignment horizontal="center" wrapText="1"/>
    </xf>
    <xf numFmtId="0" fontId="0" fillId="34" borderId="22" xfId="0" applyFont="1" applyFill="1" applyBorder="1" applyAlignment="1">
      <alignment horizontal="center"/>
    </xf>
    <xf numFmtId="0" fontId="0" fillId="0" borderId="22"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5" fillId="0" borderId="0" xfId="0" applyFont="1" applyAlignment="1">
      <alignment horizontal="centerContinuous"/>
    </xf>
    <xf numFmtId="0" fontId="6" fillId="34" borderId="12" xfId="0" applyFont="1" applyFill="1" applyBorder="1" applyAlignment="1">
      <alignment horizontal="centerContinuous"/>
    </xf>
    <xf numFmtId="0" fontId="6" fillId="34" borderId="10" xfId="0" applyFont="1" applyFill="1" applyBorder="1" applyAlignment="1">
      <alignment horizontal="centerContinuous"/>
    </xf>
    <xf numFmtId="0" fontId="6" fillId="34" borderId="10" xfId="0" applyFont="1" applyFill="1" applyBorder="1" applyAlignment="1">
      <alignment/>
    </xf>
    <xf numFmtId="0" fontId="6" fillId="34" borderId="11" xfId="0" applyFont="1" applyFill="1" applyBorder="1" applyAlignment="1">
      <alignment horizontal="center"/>
    </xf>
    <xf numFmtId="0" fontId="0" fillId="0" borderId="22" xfId="0" applyBorder="1" applyAlignment="1" applyProtection="1">
      <alignment horizontal="center"/>
      <protection locked="0"/>
    </xf>
    <xf numFmtId="0" fontId="15" fillId="0" borderId="0" xfId="0" applyFont="1" applyAlignment="1">
      <alignment horizontal="centerContinuous"/>
    </xf>
    <xf numFmtId="0" fontId="6" fillId="35" borderId="12" xfId="0" applyFont="1" applyFill="1" applyBorder="1" applyAlignment="1">
      <alignment horizontal="centerContinuous"/>
    </xf>
    <xf numFmtId="0" fontId="6" fillId="35" borderId="10" xfId="0" applyFont="1" applyFill="1" applyBorder="1" applyAlignment="1">
      <alignment horizontal="centerContinuous"/>
    </xf>
    <xf numFmtId="0" fontId="6" fillId="35" borderId="10" xfId="0" applyFont="1" applyFill="1" applyBorder="1" applyAlignment="1">
      <alignment/>
    </xf>
    <xf numFmtId="0" fontId="6" fillId="35" borderId="11" xfId="0" applyFont="1" applyFill="1" applyBorder="1" applyAlignment="1">
      <alignment horizontal="center"/>
    </xf>
    <xf numFmtId="0" fontId="0" fillId="0" borderId="34" xfId="0" applyFont="1" applyBorder="1" applyAlignment="1" applyProtection="1">
      <alignment/>
      <protection locked="0"/>
    </xf>
    <xf numFmtId="180" fontId="0" fillId="0" borderId="34" xfId="0" applyNumberFormat="1" applyFont="1" applyBorder="1" applyAlignment="1" applyProtection="1">
      <alignment/>
      <protection locked="0"/>
    </xf>
    <xf numFmtId="178" fontId="0" fillId="34" borderId="13" xfId="0" applyNumberFormat="1" applyFill="1" applyBorder="1" applyAlignment="1">
      <alignment horizontal="right" textRotation="90" wrapText="1"/>
    </xf>
    <xf numFmtId="49" fontId="0" fillId="34" borderId="10" xfId="0" applyNumberFormat="1" applyFill="1" applyBorder="1" applyAlignment="1">
      <alignment horizontal="center" textRotation="90"/>
    </xf>
    <xf numFmtId="49" fontId="0" fillId="34" borderId="35" xfId="0" applyNumberFormat="1" applyFill="1" applyBorder="1" applyAlignment="1">
      <alignment horizontal="center" wrapText="1"/>
    </xf>
    <xf numFmtId="178" fontId="0" fillId="34" borderId="36" xfId="0" applyNumberFormat="1" applyFill="1" applyBorder="1" applyAlignment="1">
      <alignment horizontal="center" textRotation="90" wrapText="1"/>
    </xf>
    <xf numFmtId="178" fontId="0" fillId="0" borderId="37" xfId="0" applyNumberFormat="1" applyBorder="1" applyAlignment="1">
      <alignment horizontal="right"/>
    </xf>
    <xf numFmtId="49" fontId="0" fillId="0" borderId="38" xfId="0" applyNumberFormat="1" applyBorder="1" applyAlignment="1">
      <alignment horizontal="center"/>
    </xf>
    <xf numFmtId="49" fontId="1" fillId="0" borderId="38" xfId="0" applyNumberFormat="1" applyFont="1" applyBorder="1" applyAlignment="1">
      <alignment horizontal="left"/>
    </xf>
    <xf numFmtId="178" fontId="0" fillId="0" borderId="39" xfId="0" applyNumberFormat="1" applyBorder="1" applyAlignment="1">
      <alignment horizontal="right"/>
    </xf>
    <xf numFmtId="178" fontId="0" fillId="0" borderId="40" xfId="0" applyNumberFormat="1" applyBorder="1" applyAlignment="1">
      <alignment horizontal="right"/>
    </xf>
    <xf numFmtId="49" fontId="0" fillId="0" borderId="41" xfId="0" applyNumberFormat="1" applyBorder="1" applyAlignment="1">
      <alignment horizontal="center"/>
    </xf>
    <xf numFmtId="49" fontId="0" fillId="0" borderId="41" xfId="0" applyNumberFormat="1" applyBorder="1" applyAlignment="1">
      <alignment horizontal="left"/>
    </xf>
    <xf numFmtId="178" fontId="0" fillId="0" borderId="42" xfId="0" applyNumberFormat="1" applyBorder="1" applyAlignment="1">
      <alignment horizontal="right"/>
    </xf>
    <xf numFmtId="178" fontId="0" fillId="0" borderId="43" xfId="0" applyNumberFormat="1" applyBorder="1" applyAlignment="1">
      <alignment horizontal="right"/>
    </xf>
    <xf numFmtId="49" fontId="0" fillId="0" borderId="44" xfId="0" applyNumberFormat="1" applyBorder="1" applyAlignment="1">
      <alignment horizontal="center"/>
    </xf>
    <xf numFmtId="49" fontId="0" fillId="0" borderId="44" xfId="0" applyNumberFormat="1" applyBorder="1" applyAlignment="1">
      <alignment horizontal="left"/>
    </xf>
    <xf numFmtId="178" fontId="0" fillId="0" borderId="45" xfId="0" applyNumberFormat="1" applyBorder="1" applyAlignment="1">
      <alignment horizontal="right"/>
    </xf>
    <xf numFmtId="49" fontId="0" fillId="0" borderId="38" xfId="0" applyNumberFormat="1" applyBorder="1" applyAlignment="1">
      <alignment horizontal="left"/>
    </xf>
    <xf numFmtId="0" fontId="0" fillId="0" borderId="41" xfId="0" applyBorder="1" applyAlignment="1">
      <alignment horizontal="center"/>
    </xf>
    <xf numFmtId="0" fontId="0" fillId="0" borderId="41" xfId="0" applyBorder="1" applyAlignment="1">
      <alignment/>
    </xf>
    <xf numFmtId="178" fontId="1" fillId="0" borderId="40" xfId="0" applyNumberFormat="1" applyFont="1" applyBorder="1" applyAlignment="1">
      <alignment horizontal="right"/>
    </xf>
    <xf numFmtId="49" fontId="1" fillId="0" borderId="41" xfId="0" applyNumberFormat="1" applyFont="1" applyBorder="1" applyAlignment="1">
      <alignment horizontal="center"/>
    </xf>
    <xf numFmtId="49" fontId="1" fillId="0" borderId="41" xfId="0" applyNumberFormat="1" applyFont="1" applyBorder="1" applyAlignment="1">
      <alignment horizontal="left"/>
    </xf>
    <xf numFmtId="178" fontId="1" fillId="0" borderId="42" xfId="0" applyNumberFormat="1" applyFont="1" applyBorder="1" applyAlignment="1">
      <alignment horizontal="right"/>
    </xf>
    <xf numFmtId="178" fontId="16" fillId="0" borderId="46" xfId="0" applyNumberFormat="1" applyFont="1" applyBorder="1" applyAlignment="1">
      <alignment horizontal="center" wrapText="1"/>
    </xf>
    <xf numFmtId="177" fontId="16" fillId="0" borderId="46" xfId="0" applyNumberFormat="1" applyFont="1" applyBorder="1" applyAlignment="1">
      <alignment horizontal="center" vertical="center" wrapText="1"/>
    </xf>
    <xf numFmtId="0" fontId="16" fillId="0" borderId="32" xfId="0" applyFont="1" applyBorder="1" applyAlignment="1">
      <alignment horizontal="center" vertical="center"/>
    </xf>
    <xf numFmtId="0" fontId="17" fillId="0" borderId="46" xfId="0" applyFont="1" applyBorder="1" applyAlignment="1">
      <alignment horizontal="center" vertical="center" wrapText="1"/>
    </xf>
    <xf numFmtId="0" fontId="16" fillId="0" borderId="32" xfId="0" applyFont="1" applyBorder="1" applyAlignment="1">
      <alignment horizontal="center"/>
    </xf>
    <xf numFmtId="0" fontId="16" fillId="0" borderId="46" xfId="0" applyFont="1" applyBorder="1" applyAlignment="1">
      <alignment horizontal="center" wrapText="1"/>
    </xf>
    <xf numFmtId="178" fontId="17" fillId="0" borderId="46" xfId="0" applyNumberFormat="1" applyFont="1" applyBorder="1" applyAlignment="1">
      <alignment horizontal="center" vertical="center"/>
    </xf>
    <xf numFmtId="18" fontId="17" fillId="0" borderId="46" xfId="0" applyNumberFormat="1" applyFont="1" applyBorder="1" applyAlignment="1">
      <alignment horizontal="center" vertical="center" wrapText="1"/>
    </xf>
    <xf numFmtId="178" fontId="16" fillId="0" borderId="18" xfId="0" applyNumberFormat="1" applyFont="1" applyBorder="1" applyAlignment="1">
      <alignment/>
    </xf>
    <xf numFmtId="176" fontId="16" fillId="0" borderId="18" xfId="0" applyNumberFormat="1" applyFont="1" applyBorder="1" applyAlignment="1">
      <alignment horizontal="center" vertical="center" wrapText="1"/>
    </xf>
    <xf numFmtId="0" fontId="16" fillId="0" borderId="26" xfId="0" applyFont="1" applyBorder="1" applyAlignment="1">
      <alignment horizontal="center" vertical="center"/>
    </xf>
    <xf numFmtId="0" fontId="17" fillId="0" borderId="18" xfId="0" applyFont="1" applyBorder="1" applyAlignment="1">
      <alignment horizontal="center" vertical="center" wrapText="1"/>
    </xf>
    <xf numFmtId="0" fontId="16" fillId="0" borderId="19" xfId="0" applyFont="1" applyBorder="1" applyAlignment="1">
      <alignment/>
    </xf>
    <xf numFmtId="0" fontId="16" fillId="0" borderId="18" xfId="0" applyFont="1" applyBorder="1" applyAlignment="1">
      <alignment/>
    </xf>
    <xf numFmtId="0" fontId="16" fillId="0" borderId="46" xfId="0" applyFont="1" applyBorder="1" applyAlignment="1">
      <alignment horizontal="center" vertical="center"/>
    </xf>
    <xf numFmtId="0" fontId="9" fillId="0" borderId="26" xfId="0" applyFont="1" applyBorder="1" applyAlignment="1" applyProtection="1">
      <alignment/>
      <protection/>
    </xf>
    <xf numFmtId="0" fontId="9" fillId="0" borderId="26" xfId="0" applyFont="1" applyBorder="1" applyAlignment="1" applyProtection="1">
      <alignment/>
      <protection/>
    </xf>
    <xf numFmtId="180" fontId="18" fillId="0" borderId="26" xfId="0" applyNumberFormat="1" applyFont="1" applyBorder="1" applyAlignment="1" applyProtection="1">
      <alignment horizontal="centerContinuous"/>
      <protection/>
    </xf>
    <xf numFmtId="0" fontId="8" fillId="0" borderId="26" xfId="0" applyFont="1" applyBorder="1" applyAlignment="1" applyProtection="1">
      <alignment/>
      <protection/>
    </xf>
    <xf numFmtId="0" fontId="5" fillId="0" borderId="0" xfId="0" applyFont="1" applyAlignment="1" applyProtection="1">
      <alignment/>
      <protection/>
    </xf>
    <xf numFmtId="0" fontId="5" fillId="0" borderId="0" xfId="0" applyFont="1" applyAlignment="1" applyProtection="1">
      <alignment/>
      <protection/>
    </xf>
    <xf numFmtId="0" fontId="0" fillId="34" borderId="20" xfId="0" applyFont="1" applyFill="1" applyBorder="1" applyAlignment="1">
      <alignment horizontal="center"/>
    </xf>
    <xf numFmtId="49" fontId="13" fillId="0" borderId="44" xfId="0" applyNumberFormat="1" applyFont="1" applyBorder="1" applyAlignment="1">
      <alignment horizontal="center"/>
    </xf>
    <xf numFmtId="178" fontId="0" fillId="0" borderId="47" xfId="0" applyNumberFormat="1" applyBorder="1" applyAlignment="1">
      <alignment horizontal="right"/>
    </xf>
    <xf numFmtId="49" fontId="1" fillId="0" borderId="0" xfId="0" applyNumberFormat="1" applyFont="1" applyBorder="1" applyAlignment="1">
      <alignment horizontal="center"/>
    </xf>
    <xf numFmtId="49" fontId="1" fillId="0" borderId="0" xfId="0" applyNumberFormat="1" applyFont="1" applyBorder="1" applyAlignment="1">
      <alignment horizontal="left"/>
    </xf>
    <xf numFmtId="49" fontId="0" fillId="0" borderId="0" xfId="0" applyNumberFormat="1" applyBorder="1" applyAlignment="1">
      <alignment horizontal="center"/>
    </xf>
    <xf numFmtId="49" fontId="0" fillId="0" borderId="0" xfId="0" applyNumberFormat="1" applyBorder="1" applyAlignment="1">
      <alignment horizontal="left"/>
    </xf>
    <xf numFmtId="178" fontId="0" fillId="0" borderId="0" xfId="0" applyNumberFormat="1" applyBorder="1" applyAlignment="1">
      <alignment horizontal="right"/>
    </xf>
    <xf numFmtId="178" fontId="1" fillId="0" borderId="0" xfId="0" applyNumberFormat="1" applyFont="1" applyBorder="1" applyAlignment="1">
      <alignment horizontal="right"/>
    </xf>
    <xf numFmtId="49" fontId="13" fillId="0" borderId="33" xfId="0" applyNumberFormat="1" applyFont="1" applyBorder="1" applyAlignment="1">
      <alignment horizontal="center"/>
    </xf>
    <xf numFmtId="178" fontId="0" fillId="0" borderId="40" xfId="0" applyNumberFormat="1" applyFont="1" applyBorder="1" applyAlignment="1">
      <alignment horizontal="right"/>
    </xf>
    <xf numFmtId="178" fontId="0" fillId="0" borderId="27" xfId="0" applyNumberFormat="1" applyBorder="1" applyAlignment="1">
      <alignment horizontal="right"/>
    </xf>
    <xf numFmtId="49" fontId="0" fillId="0" borderId="30" xfId="0" applyNumberFormat="1" applyBorder="1" applyAlignment="1">
      <alignment horizontal="center"/>
    </xf>
    <xf numFmtId="49" fontId="0" fillId="0" borderId="30" xfId="0" applyNumberFormat="1" applyBorder="1" applyAlignment="1">
      <alignment horizontal="left"/>
    </xf>
    <xf numFmtId="178" fontId="0" fillId="0" borderId="31" xfId="0" applyNumberFormat="1" applyBorder="1" applyAlignment="1">
      <alignment horizontal="right"/>
    </xf>
    <xf numFmtId="178" fontId="0" fillId="0" borderId="47" xfId="0" applyNumberFormat="1" applyFont="1" applyBorder="1" applyAlignment="1">
      <alignment horizontal="right"/>
    </xf>
    <xf numFmtId="49" fontId="0" fillId="0" borderId="41" xfId="0" applyNumberFormat="1" applyFont="1" applyBorder="1" applyAlignment="1">
      <alignment horizontal="center"/>
    </xf>
    <xf numFmtId="49" fontId="0" fillId="0" borderId="41" xfId="0" applyNumberFormat="1" applyFont="1" applyBorder="1" applyAlignment="1">
      <alignment horizontal="left"/>
    </xf>
    <xf numFmtId="49" fontId="0" fillId="0" borderId="48" xfId="0" applyNumberFormat="1" applyBorder="1" applyAlignment="1">
      <alignment horizontal="center"/>
    </xf>
    <xf numFmtId="49" fontId="0" fillId="0" borderId="48" xfId="0" applyNumberFormat="1" applyBorder="1" applyAlignment="1">
      <alignment horizontal="left"/>
    </xf>
    <xf numFmtId="178" fontId="0" fillId="0" borderId="49" xfId="0" applyNumberFormat="1" applyBorder="1" applyAlignment="1">
      <alignment horizontal="right"/>
    </xf>
    <xf numFmtId="0" fontId="0" fillId="0" borderId="38" xfId="0" applyBorder="1" applyAlignment="1">
      <alignment horizontal="center"/>
    </xf>
    <xf numFmtId="0" fontId="0" fillId="0" borderId="38" xfId="0" applyBorder="1" applyAlignment="1">
      <alignment/>
    </xf>
    <xf numFmtId="178" fontId="0" fillId="0" borderId="50" xfId="0" applyNumberFormat="1" applyBorder="1" applyAlignment="1">
      <alignment horizontal="right"/>
    </xf>
    <xf numFmtId="0" fontId="0" fillId="0" borderId="51" xfId="0" applyBorder="1" applyAlignment="1">
      <alignment/>
    </xf>
    <xf numFmtId="0" fontId="0" fillId="0" borderId="52" xfId="0" applyBorder="1" applyAlignment="1">
      <alignment/>
    </xf>
    <xf numFmtId="49" fontId="1" fillId="0" borderId="48" xfId="0" applyNumberFormat="1" applyFont="1" applyBorder="1" applyAlignment="1">
      <alignment horizontal="left"/>
    </xf>
    <xf numFmtId="0" fontId="0" fillId="0" borderId="53" xfId="0" applyBorder="1" applyAlignment="1">
      <alignment/>
    </xf>
    <xf numFmtId="0" fontId="0" fillId="0" borderId="25" xfId="0" applyFont="1" applyBorder="1" applyAlignment="1" applyProtection="1">
      <alignment/>
      <protection locked="0"/>
    </xf>
    <xf numFmtId="49" fontId="0" fillId="0" borderId="25" xfId="0" applyNumberFormat="1" applyFont="1" applyBorder="1" applyAlignment="1" applyProtection="1">
      <alignment horizontal="center"/>
      <protection locked="0"/>
    </xf>
    <xf numFmtId="0" fontId="0" fillId="0" borderId="40" xfId="0" applyBorder="1" applyAlignment="1">
      <alignment/>
    </xf>
    <xf numFmtId="0" fontId="0" fillId="0" borderId="42" xfId="0" applyBorder="1" applyAlignment="1">
      <alignment/>
    </xf>
    <xf numFmtId="178" fontId="0" fillId="0" borderId="54" xfId="0" applyNumberFormat="1" applyBorder="1" applyAlignment="1">
      <alignment horizontal="right"/>
    </xf>
    <xf numFmtId="49" fontId="1" fillId="0" borderId="55" xfId="0" applyNumberFormat="1" applyFont="1" applyBorder="1" applyAlignment="1">
      <alignment horizontal="center"/>
    </xf>
    <xf numFmtId="49" fontId="1" fillId="0" borderId="55" xfId="0" applyNumberFormat="1" applyFont="1" applyBorder="1" applyAlignment="1">
      <alignment horizontal="left"/>
    </xf>
    <xf numFmtId="178" fontId="0" fillId="0" borderId="56" xfId="0" applyNumberFormat="1" applyBorder="1" applyAlignment="1">
      <alignment horizontal="right"/>
    </xf>
    <xf numFmtId="178" fontId="0" fillId="0" borderId="57" xfId="0" applyNumberFormat="1" applyFont="1" applyBorder="1" applyAlignment="1">
      <alignment horizontal="right"/>
    </xf>
    <xf numFmtId="49" fontId="0" fillId="0" borderId="58" xfId="0" applyNumberFormat="1" applyFont="1" applyBorder="1" applyAlignment="1">
      <alignment horizontal="center"/>
    </xf>
    <xf numFmtId="49" fontId="13" fillId="0" borderId="58" xfId="0" applyNumberFormat="1" applyFont="1" applyBorder="1" applyAlignment="1">
      <alignment horizontal="center"/>
    </xf>
    <xf numFmtId="178" fontId="0" fillId="0" borderId="59" xfId="0" applyNumberFormat="1" applyBorder="1" applyAlignment="1">
      <alignment horizontal="right"/>
    </xf>
    <xf numFmtId="49" fontId="0" fillId="0" borderId="23" xfId="0" applyNumberFormat="1" applyFont="1" applyBorder="1" applyAlignment="1" applyProtection="1">
      <alignment/>
      <protection locked="0"/>
    </xf>
    <xf numFmtId="0" fontId="0" fillId="0" borderId="12" xfId="0" applyFont="1" applyBorder="1" applyAlignment="1" applyProtection="1">
      <alignment horizontal="centerContinuous"/>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0</xdr:row>
      <xdr:rowOff>0</xdr:rowOff>
    </xdr:from>
    <xdr:to>
      <xdr:col>16</xdr:col>
      <xdr:colOff>142875</xdr:colOff>
      <xdr:row>4</xdr:row>
      <xdr:rowOff>409575</xdr:rowOff>
    </xdr:to>
    <xdr:pic>
      <xdr:nvPicPr>
        <xdr:cNvPr id="1" name="Picture 2"/>
        <xdr:cNvPicPr preferRelativeResize="1">
          <a:picLocks noChangeAspect="1"/>
        </xdr:cNvPicPr>
      </xdr:nvPicPr>
      <xdr:blipFill>
        <a:blip r:embed="rId1"/>
        <a:stretch>
          <a:fillRect/>
        </a:stretch>
      </xdr:blipFill>
      <xdr:spPr>
        <a:xfrm>
          <a:off x="9877425" y="0"/>
          <a:ext cx="4314825" cy="20574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9"/>
  <sheetViews>
    <sheetView workbookViewId="0" topLeftCell="A1">
      <selection activeCell="B4" sqref="B4"/>
    </sheetView>
  </sheetViews>
  <sheetFormatPr defaultColWidth="8.8515625" defaultRowHeight="12.75"/>
  <cols>
    <col min="1" max="1" width="16.421875" style="2" customWidth="1"/>
    <col min="2" max="2" width="9.28125" style="0" bestFit="1" customWidth="1"/>
    <col min="3" max="3" width="9.140625" style="5" hidden="1" customWidth="1"/>
    <col min="4" max="4" width="8.28125" style="0" customWidth="1"/>
    <col min="5" max="5" width="28.7109375" style="0" customWidth="1"/>
    <col min="6" max="8" width="25.7109375" style="0" customWidth="1"/>
    <col min="9" max="12" width="17.8515625" style="0" customWidth="1"/>
  </cols>
  <sheetData>
    <row r="1" spans="1:3" ht="12.75">
      <c r="A1" s="23" t="s">
        <v>0</v>
      </c>
      <c r="B1" s="24">
        <v>50</v>
      </c>
      <c r="C1">
        <f>IF(Brevet_Length&gt;=1200,Brevet_Length,IF(Brevet_Length&gt;=1000,1000,IF(Brevet_Length&gt;=600,600,IF(Brevet_Length&gt;=400,400,IF(Brevet_Length&gt;=200,200,100)))))</f>
        <v>100</v>
      </c>
    </row>
    <row r="2" spans="1:2" ht="13.5" thickBot="1">
      <c r="A2" s="25" t="s">
        <v>1</v>
      </c>
      <c r="B2" s="26">
        <f>IF(brevet=1200,90,IF(brevet&gt;=1000,75,IF(brevet&gt;=600,40,IF(brevet&gt;=400,27,IF(brevet&gt;=300,20,IF(brevet&gt;=200,13.5,IF(brevet&gt;=100,7,0)))))))</f>
        <v>7</v>
      </c>
    </row>
    <row r="3" spans="1:8" ht="13.5" thickBot="1">
      <c r="A3" s="25" t="s">
        <v>2</v>
      </c>
      <c r="B3" s="208" t="s">
        <v>201</v>
      </c>
      <c r="C3" s="30"/>
      <c r="D3" s="3"/>
      <c r="E3" s="3"/>
      <c r="F3" s="3"/>
      <c r="G3" s="3"/>
      <c r="H3" s="4"/>
    </row>
    <row r="4" spans="1:8" ht="12.75">
      <c r="A4" s="25" t="s">
        <v>3</v>
      </c>
      <c r="B4" s="207" t="s">
        <v>200</v>
      </c>
      <c r="C4" s="70"/>
      <c r="D4" s="71"/>
      <c r="E4" s="71"/>
      <c r="F4" s="71"/>
      <c r="G4" s="71"/>
      <c r="H4" s="71"/>
    </row>
    <row r="5" spans="1:2" ht="12.75">
      <c r="A5" s="25" t="s">
        <v>4</v>
      </c>
      <c r="B5" s="27">
        <v>41062</v>
      </c>
    </row>
    <row r="6" spans="1:2" ht="12.75" thickBot="1">
      <c r="A6" s="21" t="s">
        <v>5</v>
      </c>
      <c r="B6" s="22">
        <v>0.4166666666666667</v>
      </c>
    </row>
    <row r="7" spans="4:8" ht="12.75" thickBot="1">
      <c r="D7" s="9" t="s">
        <v>6</v>
      </c>
      <c r="E7" s="10"/>
      <c r="F7" s="10"/>
      <c r="G7" s="10"/>
      <c r="H7" s="11"/>
    </row>
    <row r="8" spans="4:8" ht="8.25" customHeight="1" hidden="1" thickBot="1">
      <c r="D8" s="12"/>
      <c r="E8" s="12"/>
      <c r="F8" s="12"/>
      <c r="G8" s="12"/>
      <c r="H8" s="12"/>
    </row>
    <row r="9" spans="4:12" ht="12.75" thickBot="1">
      <c r="D9" s="13" t="s">
        <v>7</v>
      </c>
      <c r="E9" s="14" t="s">
        <v>8</v>
      </c>
      <c r="F9" s="14" t="s">
        <v>9</v>
      </c>
      <c r="G9" s="14" t="s">
        <v>10</v>
      </c>
      <c r="H9" s="15" t="s">
        <v>11</v>
      </c>
      <c r="I9" t="s">
        <v>12</v>
      </c>
      <c r="J9" t="s">
        <v>13</v>
      </c>
      <c r="K9" t="s">
        <v>14</v>
      </c>
      <c r="L9" t="s">
        <v>15</v>
      </c>
    </row>
    <row r="10" spans="3:12" ht="12">
      <c r="C10" s="5" t="s">
        <v>16</v>
      </c>
      <c r="D10" s="28">
        <f>'VI050C 050320'!A4</f>
        <v>0</v>
      </c>
      <c r="E10" s="195" t="s">
        <v>195</v>
      </c>
      <c r="F10" s="196" t="s">
        <v>196</v>
      </c>
      <c r="G10" s="196" t="s">
        <v>199</v>
      </c>
      <c r="H10" s="73" t="s">
        <v>159</v>
      </c>
      <c r="I10" s="6">
        <f>Start_date+Start_time</f>
        <v>41062.416666666664</v>
      </c>
      <c r="J10" s="6">
        <f>I10+"1:00"</f>
        <v>41062.45833333333</v>
      </c>
      <c r="K10" s="7">
        <f>IF(ISBLANK(Distance),"",Open Control_1)</f>
        <v>41062.416666666664</v>
      </c>
      <c r="L10" s="7">
        <f>IF(ISBLANK(Distance),"",Close Control_1)</f>
        <v>41062.45833333333</v>
      </c>
    </row>
    <row r="11" spans="3:12" ht="12">
      <c r="C11" s="5" t="s">
        <v>17</v>
      </c>
      <c r="D11" s="28">
        <f>'VI050C 050320'!F12</f>
        <v>24.499999999999996</v>
      </c>
      <c r="E11" s="195" t="s">
        <v>194</v>
      </c>
      <c r="F11" s="196" t="s">
        <v>197</v>
      </c>
      <c r="G11" s="196" t="s">
        <v>198</v>
      </c>
      <c r="H11" s="73"/>
      <c r="I11">
        <f>IF(ISBLANK(Distance),"",IF(Distance&gt;1000,(Distance-1000)/26+33.0847,(IF(Distance&gt;600,(Distance-600)/28+18.799,(IF(Distance&gt;400,(Distance-400)/30+12.1324,(IF(Distance&gt;200,(Distance-200)/32+5.8824,Distance/34))))))))</f>
        <v>0.7205882352941175</v>
      </c>
      <c r="J11">
        <f>IF(ISBLANK(Distance),"",IF(Distance&gt;=brevet,IF(brevet&gt;1200,(brevet-1200)*75/1000+90,Max_time),IF(Distance&gt;1200,(Distance-1200)*75/1000+90,IF(Distance&gt;1000,(Distance-1000)/(1000/75)+75,IF(Distance&gt;600,(Distance-600)/(400/35)+40,Distance/15)))))</f>
        <v>1.633333333333333</v>
      </c>
      <c r="K11" s="7">
        <f>IF(ISBLANK(Distance),"",Open_time Control_1+(INT(Open)&amp;":"&amp;IF(ROUND(((Open-INT(Open))*60),0)&lt;10,0,"")&amp;ROUND(((Open-INT(Open))*60),0)))</f>
        <v>41062.44652777778</v>
      </c>
      <c r="L11" s="7">
        <f>IF(ISBLANK(Distance),"",Open_time Control_1+(INT(Close)&amp;":"&amp;IF(ROUND(((Close-INT(Close))*60),0)&lt;10,0,"")&amp;ROUND(((Close-INT(Close))*60),0)))</f>
        <v>41062.48472222222</v>
      </c>
    </row>
    <row r="12" spans="3:12" ht="12">
      <c r="C12" s="5" t="s">
        <v>18</v>
      </c>
      <c r="D12" s="28">
        <f>'VI050C 050320'!A37</f>
        <v>51.9</v>
      </c>
      <c r="E12" s="195" t="s">
        <v>195</v>
      </c>
      <c r="F12" s="196" t="s">
        <v>196</v>
      </c>
      <c r="G12" s="196" t="s">
        <v>199</v>
      </c>
      <c r="H12" s="73" t="s">
        <v>159</v>
      </c>
      <c r="I12">
        <f>IF(ISBLANK(Distance),"",IF(Distance&gt;1000,(Distance-1000)/26+33.0847,(IF(Distance&gt;600,(Distance-600)/28+18.799,(IF(Distance&gt;400,(Distance-400)/30+12.1324,(IF(Distance&gt;200,(Distance-200)/32+5.8824,Distance/34))))))))</f>
        <v>1.526470588235294</v>
      </c>
      <c r="J12">
        <f aca="true" t="shared" si="0" ref="J12:J27">IF(ISBLANK(Distance),"",IF(Distance&gt;=brevet,IF(brevet&gt;1200,(brevet-1200)*75/1000+90,Max_time),IF(Distance&gt;1200,(Distance-1200)*75/1000+90,IF(Distance&gt;1000,(Distance-1000)/(1000/75)+75,IF(Distance&gt;600,(Distance-600)/(400/35)+40,Distance/15)))))</f>
        <v>3.46</v>
      </c>
      <c r="K12" s="7">
        <f>IF(ISBLANK(Distance),"",Open_time Control_1+(INT(Open)&amp;":"&amp;IF(ROUND(((Open-INT(Open))*60),0)&lt;10,0,"")&amp;ROUND(((Open-INT(Open))*60),0)))</f>
        <v>41062.48055555555</v>
      </c>
      <c r="L12" s="7">
        <f>IF(ISBLANK(Distance),"",Open_time Control_1+(INT(Close)&amp;":"&amp;IF(ROUND(((Close-INT(Close))*60),0)&lt;10,0,"")&amp;ROUND(((Close-INT(Close))*60),0)))</f>
        <v>41062.56111111111</v>
      </c>
    </row>
    <row r="13" spans="3:12" ht="12">
      <c r="C13" s="5" t="s">
        <v>19</v>
      </c>
      <c r="D13" s="28"/>
      <c r="E13" s="195"/>
      <c r="F13" s="72"/>
      <c r="G13" s="72"/>
      <c r="H13" s="73"/>
      <c r="I13">
        <f aca="true" t="shared" si="1" ref="I13:I28">IF(ISBLANK(Distance),"",IF(Distance&gt;1000,(Distance-1000)/26+33.0847,(IF(Distance&gt;600,(Distance-600)/28+18.799,(IF(Distance&gt;400,(Distance-400)/30+12.1324,(IF(Distance&gt;200,(Distance-200)/32+5.8824,Distance/34))))))))</f>
      </c>
      <c r="J13">
        <f t="shared" si="0"/>
      </c>
      <c r="K13" s="7">
        <f>IF(ISBLANK(Distance),"",Open_time Control_1+(INT(Open)&amp;":"&amp;IF(ROUND(((Open-INT(Open))*60),0)&lt;10,0,"")&amp;ROUND(((Open-INT(Open))*60),0)))</f>
      </c>
      <c r="L13" s="7">
        <f>IF(ISBLANK(Distance),"",Open_time Control_1+(INT(Close)&amp;":"&amp;IF(ROUND(((Close-INT(Close))*60),0)&lt;10,0,"")&amp;ROUND(((Close-INT(Close))*60),0)))</f>
      </c>
    </row>
    <row r="14" spans="3:12" ht="12">
      <c r="C14" s="5" t="s">
        <v>20</v>
      </c>
      <c r="D14" s="28"/>
      <c r="E14" s="195"/>
      <c r="F14" s="196"/>
      <c r="G14" s="196"/>
      <c r="H14" s="73"/>
      <c r="I14">
        <f t="shared" si="1"/>
      </c>
      <c r="J14">
        <f t="shared" si="0"/>
      </c>
      <c r="K14" s="7">
        <f>IF(ISBLANK(Distance),"",Open_time Control_1+(INT(Open)&amp;":"&amp;IF(ROUND(((Open-INT(Open))*60),0)&lt;10,0,"")&amp;ROUND(((Open-INT(Open))*60),0)))</f>
      </c>
      <c r="L14" s="7">
        <f>IF(ISBLANK(Distance),"",Open_time Control_1+(INT(Close)&amp;":"&amp;IF(ROUND(((Close-INT(Close))*60),0)&lt;10,0,"")&amp;ROUND(((Close-INT(Close))*60),0)))</f>
      </c>
    </row>
    <row r="15" spans="3:12" ht="12">
      <c r="C15" s="5" t="s">
        <v>21</v>
      </c>
      <c r="D15" s="28"/>
      <c r="E15" s="29"/>
      <c r="F15" s="72"/>
      <c r="G15" s="72"/>
      <c r="H15" s="73"/>
      <c r="I15">
        <f t="shared" si="1"/>
      </c>
      <c r="J15">
        <f t="shared" si="0"/>
      </c>
      <c r="K15" s="7">
        <f>IF(ISBLANK(Distance),"",Open_time Control_1+(INT(Open)&amp;":"&amp;IF(ROUND(((Open-INT(Open))*60),0)&lt;10,0,"")&amp;ROUND(((Open-INT(Open))*60),0)))</f>
      </c>
      <c r="L15" s="7">
        <f>IF(ISBLANK(Distance),"",Open_time Control_1+(INT(Close)&amp;":"&amp;IF(ROUND(((Close-INT(Close))*60),0)&lt;10,0,"")&amp;ROUND(((Close-INT(Close))*60),0)))</f>
      </c>
    </row>
    <row r="16" spans="3:12" ht="12">
      <c r="C16" s="5" t="s">
        <v>22</v>
      </c>
      <c r="D16" s="28"/>
      <c r="E16" s="29"/>
      <c r="F16" s="72"/>
      <c r="G16" s="72"/>
      <c r="H16" s="73"/>
      <c r="I16">
        <f t="shared" si="1"/>
      </c>
      <c r="J16">
        <f t="shared" si="0"/>
      </c>
      <c r="K16" s="7">
        <f>IF(ISBLANK(Distance),"",Open_time Control_1+(INT(Open)&amp;":"&amp;IF(ROUND(((Open-INT(Open))*60),0)&lt;10,0,"")&amp;ROUND(((Open-INT(Open))*60),0)))</f>
      </c>
      <c r="L16" s="7">
        <f>IF(ISBLANK(Distance),"",Open_time Control_1+(INT(Close)&amp;":"&amp;IF(ROUND(((Close-INT(Close))*60),0)&lt;10,0,"")&amp;ROUND(((Close-INT(Close))*60),0)))</f>
      </c>
    </row>
    <row r="17" spans="3:12" ht="12">
      <c r="C17" s="5" t="s">
        <v>23</v>
      </c>
      <c r="D17" s="28"/>
      <c r="E17" s="29" t="s">
        <v>24</v>
      </c>
      <c r="F17" s="72"/>
      <c r="G17" s="72"/>
      <c r="H17" s="73"/>
      <c r="I17">
        <f t="shared" si="1"/>
      </c>
      <c r="J17">
        <f t="shared" si="0"/>
      </c>
      <c r="K17" s="7">
        <f>IF(ISBLANK(Distance),"",Open_time Control_1+(INT(Open)&amp;":"&amp;IF(ROUND(((Open-INT(Open))*60),0)&lt;10,0,"")&amp;ROUND(((Open-INT(Open))*60),0)))</f>
      </c>
      <c r="L17" s="7">
        <f>IF(ISBLANK(Distance),"",Open_time Control_1+(INT(Close)&amp;":"&amp;IF(ROUND(((Close-INT(Close))*60),0)&lt;10,0,"")&amp;ROUND(((Close-INT(Close))*60),0)))</f>
      </c>
    </row>
    <row r="18" spans="3:12" ht="12">
      <c r="C18" s="5" t="s">
        <v>25</v>
      </c>
      <c r="D18" s="28"/>
      <c r="E18" s="29" t="s">
        <v>24</v>
      </c>
      <c r="F18" s="72"/>
      <c r="G18" s="72"/>
      <c r="H18" s="73"/>
      <c r="I18">
        <f t="shared" si="1"/>
      </c>
      <c r="J18">
        <f t="shared" si="0"/>
      </c>
      <c r="K18" s="7">
        <f>IF(ISBLANK(Distance),"",Open_time Control_1+(INT(Open)&amp;":"&amp;IF(ROUND(((Open-INT(Open))*60),0)&lt;10,0,"")&amp;ROUND(((Open-INT(Open))*60),0)))</f>
      </c>
      <c r="L18" s="7">
        <f>IF(ISBLANK(Distance),"",Open_time Control_1+(INT(Close)&amp;":"&amp;IF(ROUND(((Close-INT(Close))*60),0)&lt;10,0,"")&amp;ROUND(((Close-INT(Close))*60),0)))</f>
      </c>
    </row>
    <row r="19" spans="3:12" ht="12">
      <c r="C19" s="5" t="s">
        <v>26</v>
      </c>
      <c r="D19" s="28"/>
      <c r="E19" s="29" t="s">
        <v>24</v>
      </c>
      <c r="F19" s="72"/>
      <c r="G19" s="72"/>
      <c r="H19" s="73"/>
      <c r="I19">
        <f t="shared" si="1"/>
      </c>
      <c r="J19">
        <f t="shared" si="0"/>
      </c>
      <c r="K19" s="7">
        <f>IF(ISBLANK(Distance),"",Open_time Control_1+(INT(Open)&amp;":"&amp;IF(ROUND(((Open-INT(Open))*60),0)&lt;10,0,"")&amp;ROUND(((Open-INT(Open))*60),0)))</f>
      </c>
      <c r="L19" s="7">
        <f>IF(ISBLANK(Distance),"",Open_time Control_1+(INT(Close)&amp;":"&amp;IF(ROUND(((Close-INT(Close))*60),0)&lt;10,0,"")&amp;ROUND(((Close-INT(Close))*60),0)))</f>
      </c>
    </row>
    <row r="20" spans="3:12" ht="12">
      <c r="C20" s="5" t="s">
        <v>27</v>
      </c>
      <c r="D20" s="28"/>
      <c r="E20" s="29"/>
      <c r="F20" s="72"/>
      <c r="G20" s="72"/>
      <c r="H20" s="73"/>
      <c r="I20">
        <f t="shared" si="1"/>
      </c>
      <c r="J20">
        <f t="shared" si="0"/>
      </c>
      <c r="K20" s="7">
        <f>IF(ISBLANK(Distance),"",Open_time Control_1+(INT(Open)&amp;":"&amp;IF(ROUND(((Open-INT(Open))*60),0)&lt;10,0,"")&amp;ROUND(((Open-INT(Open))*60),0)))</f>
      </c>
      <c r="L20" s="7">
        <f>IF(ISBLANK(Distance),"",Open_time Control_1+(INT(Close)&amp;":"&amp;IF(ROUND(((Close-INT(Close))*60),0)&lt;10,0,"")&amp;ROUND(((Close-INT(Close))*60),0)))</f>
      </c>
    </row>
    <row r="21" spans="3:12" ht="12">
      <c r="C21" s="5" t="s">
        <v>28</v>
      </c>
      <c r="D21" s="28"/>
      <c r="E21" s="29"/>
      <c r="F21" s="72"/>
      <c r="G21" s="72"/>
      <c r="H21" s="73"/>
      <c r="I21">
        <f t="shared" si="1"/>
      </c>
      <c r="J21">
        <f t="shared" si="0"/>
      </c>
      <c r="K21" s="7">
        <f>IF(ISBLANK(Distance),"",Open_time Control_1+(INT(Open)&amp;":"&amp;IF(ROUND(((Open-INT(Open))*60),0)&lt;10,0,"")&amp;ROUND(((Open-INT(Open))*60),0)))</f>
      </c>
      <c r="L21" s="7">
        <f>IF(ISBLANK(Distance),"",Open_time Control_1+(INT(Close)&amp;":"&amp;IF(ROUND(((Close-INT(Close))*60),0)&lt;10,0,"")&amp;ROUND(((Close-INT(Close))*60),0)))</f>
      </c>
    </row>
    <row r="22" spans="3:12" ht="12">
      <c r="C22" s="5" t="s">
        <v>29</v>
      </c>
      <c r="D22" s="28"/>
      <c r="E22" s="29"/>
      <c r="F22" s="72"/>
      <c r="G22" s="72"/>
      <c r="H22" s="73"/>
      <c r="I22">
        <f t="shared" si="1"/>
      </c>
      <c r="J22">
        <f t="shared" si="0"/>
      </c>
      <c r="K22" s="7">
        <f>IF(ISBLANK(Distance),"",Open_time Control_1+(INT(Open)&amp;":"&amp;IF(ROUND(((Open-INT(Open))*60),0)&lt;10,0,"")&amp;ROUND(((Open-INT(Open))*60),0)))</f>
      </c>
      <c r="L22" s="7">
        <f>IF(ISBLANK(Distance),"",Open_time Control_1+(INT(Close)&amp;":"&amp;IF(ROUND(((Close-INT(Close))*60),0)&lt;10,0,"")&amp;ROUND(((Close-INT(Close))*60),0)))</f>
      </c>
    </row>
    <row r="23" spans="3:12" ht="12">
      <c r="C23" s="5" t="s">
        <v>30</v>
      </c>
      <c r="D23" s="28"/>
      <c r="E23" s="29"/>
      <c r="F23" s="72"/>
      <c r="G23" s="72"/>
      <c r="H23" s="73"/>
      <c r="I23">
        <f t="shared" si="1"/>
      </c>
      <c r="J23">
        <f t="shared" si="0"/>
      </c>
      <c r="K23" s="7">
        <f>IF(ISBLANK(Distance),"",Open_time Control_1+(INT(Open)&amp;":"&amp;IF(ROUND(((Open-INT(Open))*60),0)&lt;10,0,"")&amp;ROUND(((Open-INT(Open))*60),0)))</f>
      </c>
      <c r="L23" s="7">
        <f>IF(ISBLANK(Distance),"",Open_time Control_1+(INT(Close)&amp;":"&amp;IF(ROUND(((Close-INT(Close))*60),0)&lt;10,0,"")&amp;ROUND(((Close-INT(Close))*60),0)))</f>
      </c>
    </row>
    <row r="24" spans="3:12" ht="12">
      <c r="C24" s="5" t="s">
        <v>31</v>
      </c>
      <c r="D24" s="28"/>
      <c r="E24" s="29"/>
      <c r="F24" s="72"/>
      <c r="G24" s="72"/>
      <c r="H24" s="73"/>
      <c r="I24">
        <f t="shared" si="1"/>
      </c>
      <c r="J24">
        <f t="shared" si="0"/>
      </c>
      <c r="K24" s="7">
        <f>IF(ISBLANK(Distance),"",Open_time Control_1+(INT(Open)&amp;":"&amp;IF(ROUND(((Open-INT(Open))*60),0)&lt;10,0,"")&amp;ROUND(((Open-INT(Open))*60),0)))</f>
      </c>
      <c r="L24" s="7">
        <f>IF(ISBLANK(Distance),"",Open_time Control_1+(INT(Close)&amp;":"&amp;IF(ROUND(((Close-INT(Close))*60),0)&lt;10,0,"")&amp;ROUND(((Close-INT(Close))*60),0)))</f>
      </c>
    </row>
    <row r="25" spans="3:12" ht="12">
      <c r="C25" s="5" t="s">
        <v>32</v>
      </c>
      <c r="D25" s="28"/>
      <c r="E25" s="29"/>
      <c r="F25" s="72"/>
      <c r="G25" s="72"/>
      <c r="H25" s="73"/>
      <c r="I25">
        <f t="shared" si="1"/>
      </c>
      <c r="J25">
        <f t="shared" si="0"/>
      </c>
      <c r="K25" s="7">
        <f>IF(ISBLANK(Distance),"",Open_time Control_1+(INT(Open)&amp;":"&amp;IF(ROUND(((Open-INT(Open))*60),0)&lt;10,0,"")&amp;ROUND(((Open-INT(Open))*60),0)))</f>
      </c>
      <c r="L25" s="7">
        <f>IF(ISBLANK(Distance),"",Open_time Control_1+(INT(Close)&amp;":"&amp;IF(ROUND(((Close-INT(Close))*60),0)&lt;10,0,"")&amp;ROUND(((Close-INT(Close))*60),0)))</f>
      </c>
    </row>
    <row r="26" spans="3:12" ht="12">
      <c r="C26" s="5" t="s">
        <v>33</v>
      </c>
      <c r="D26" s="28"/>
      <c r="E26" s="29"/>
      <c r="F26" s="72"/>
      <c r="G26" s="72"/>
      <c r="H26" s="73"/>
      <c r="I26">
        <f t="shared" si="1"/>
      </c>
      <c r="J26">
        <f t="shared" si="0"/>
      </c>
      <c r="K26" s="7">
        <f>IF(ISBLANK(Distance),"",Open_time Control_1+(INT(Open)&amp;":"&amp;IF(ROUND(((Open-INT(Open))*60),0)&lt;10,0,"")&amp;ROUND(((Open-INT(Open))*60),0)))</f>
      </c>
      <c r="L26" s="7">
        <f>IF(ISBLANK(Distance),"",Open_time Control_1+(INT(Close)&amp;":"&amp;IF(ROUND(((Close-INT(Close))*60),0)&lt;10,0,"")&amp;ROUND(((Close-INT(Close))*60),0)))</f>
      </c>
    </row>
    <row r="27" spans="3:12" ht="12">
      <c r="C27" s="5" t="s">
        <v>34</v>
      </c>
      <c r="D27" s="28"/>
      <c r="E27" s="29"/>
      <c r="F27" s="72"/>
      <c r="G27" s="72"/>
      <c r="H27" s="73"/>
      <c r="I27">
        <f t="shared" si="1"/>
      </c>
      <c r="J27">
        <f t="shared" si="0"/>
      </c>
      <c r="K27" s="7">
        <f>IF(ISBLANK(Distance),"",Open_time Control_1+(INT(Open)&amp;":"&amp;IF(ROUND(((Open-INT(Open))*60),0)&lt;10,0,"")&amp;ROUND(((Open-INT(Open))*60),0)))</f>
      </c>
      <c r="L27" s="7">
        <f>IF(ISBLANK(Distance),"",Open_time Control_1+(INT(Close)&amp;":"&amp;IF(ROUND(((Close-INT(Close))*60),0)&lt;10,0,"")&amp;ROUND(((Close-INT(Close))*60),0)))</f>
      </c>
    </row>
    <row r="28" spans="3:12" ht="12">
      <c r="C28" s="5" t="s">
        <v>35</v>
      </c>
      <c r="D28" s="28"/>
      <c r="E28" s="29"/>
      <c r="F28" s="72"/>
      <c r="G28" s="72"/>
      <c r="H28" s="73"/>
      <c r="I28">
        <f t="shared" si="1"/>
      </c>
      <c r="J28">
        <f>IF(ISBLANK(Distance),"",IF(Distance&gt;=brevet,IF(brevet&gt;1200,(brevet-1200)*75/1000+90,Max_time),IF(Distance&gt;1200,(Distance-1200)*75/1000+90,IF(Distance&gt;1000,(Distance-1000)/(1000/75)+75,IF(Distance&gt;600,(Distance-600)/(400/35)+40,Distance/15)))))</f>
      </c>
      <c r="K28" s="7">
        <f>IF(ISBLANK(Distance),"",Open_time Control_1+(INT(Open)&amp;":"&amp;IF(ROUND(((Open-INT(Open))*60),0)&lt;10,0,"")&amp;ROUND(((Open-INT(Open))*60),0)))</f>
      </c>
      <c r="L28" s="7">
        <f>IF(ISBLANK(Distance),"",Open_time Control_1+(INT(Close)&amp;":"&amp;IF(ROUND(((Close-INT(Close))*60),0)&lt;10,0,"")&amp;ROUND(((Close-INT(Close))*60),0)))</f>
      </c>
    </row>
    <row r="29" spans="3:12" ht="12.75" thickBot="1">
      <c r="C29" s="5" t="s">
        <v>36</v>
      </c>
      <c r="D29" s="19"/>
      <c r="E29" s="20"/>
      <c r="F29" s="74"/>
      <c r="G29" s="74"/>
      <c r="H29" s="75"/>
      <c r="I29">
        <f>IF(ISBLANK(Distance),"",IF(Distance&gt;1000,(Distance-1000)/26+33.0847,(IF(Distance&gt;600,(Distance-600)/28+18.799,(IF(Distance&gt;400,(Distance-400)/30+12.1324,(IF(Distance&gt;200,(Distance-200)/32+5.8824,Distance/34))))))))</f>
      </c>
      <c r="J29">
        <f>IF(ISBLANK(Distance),"",IF(Distance&gt;=brevet,IF(brevet&gt;1200,(brevet-1200)*75/1000+90,Max_time),IF(Distance&gt;1200,(Distance-1200)*75/1000+90,IF(Distance&gt;1000,(Distance-1000)/(1000/75)+75,IF(Distance&gt;600,(Distance-600)/(400/35)+40,Distance/15)))))</f>
      </c>
      <c r="K29" s="7">
        <f>IF(ISBLANK(Distance),"",Open_time Control_1+(INT(Open)&amp;":"&amp;IF(ROUND(((Open-INT(Open))*60),0)&lt;10,0,"")&amp;ROUND(((Open-INT(Open))*60),0)))</f>
      </c>
      <c r="L29" s="7">
        <f>IF(ISBLANK(Distance),"",Open_time Control_1+(INT(Close)&amp;":"&amp;IF(ROUND(((Close-INT(Close))*60),0)&lt;10,0,"")&amp;ROUND(((Close-INT(Close))*60),0)))</f>
      </c>
    </row>
  </sheetData>
  <sheetProtection/>
  <printOptions/>
  <pageMargins left="0.75" right="0.75" top="1" bottom="1" header="0.5" footer="0.5"/>
  <pageSetup orientation="portrait"/>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U33"/>
  <sheetViews>
    <sheetView workbookViewId="0" topLeftCell="G22">
      <selection activeCell="S31" sqref="S31"/>
    </sheetView>
  </sheetViews>
  <sheetFormatPr defaultColWidth="8.8515625" defaultRowHeight="12.75"/>
  <cols>
    <col min="1" max="1" width="8.7109375" style="0" customWidth="1"/>
    <col min="2" max="3" width="11.7109375" style="0" customWidth="1"/>
    <col min="4" max="4" width="17.7109375" style="0" customWidth="1"/>
    <col min="5" max="5" width="24.421875" style="0" customWidth="1"/>
    <col min="6" max="6" width="43.28125" style="0" customWidth="1"/>
    <col min="7" max="7" width="13.421875" style="0" customWidth="1"/>
  </cols>
  <sheetData>
    <row r="1" spans="1:8" ht="21" thickBot="1">
      <c r="A1" s="16" t="s">
        <v>37</v>
      </c>
      <c r="B1" s="8"/>
      <c r="C1" s="8"/>
      <c r="D1" s="8"/>
      <c r="E1" s="8"/>
      <c r="F1" s="8"/>
      <c r="G1" s="8"/>
      <c r="H1" s="101" t="s">
        <v>38</v>
      </c>
    </row>
    <row r="2" spans="1:14" ht="36.75" thickBot="1">
      <c r="A2" s="17" t="s">
        <v>39</v>
      </c>
      <c r="B2" s="18" t="s">
        <v>12</v>
      </c>
      <c r="C2" s="18" t="s">
        <v>13</v>
      </c>
      <c r="D2" s="18" t="s">
        <v>8</v>
      </c>
      <c r="E2" s="18" t="s">
        <v>40</v>
      </c>
      <c r="F2" s="18" t="s">
        <v>41</v>
      </c>
      <c r="G2" s="17" t="s">
        <v>42</v>
      </c>
      <c r="H2" s="101" t="s">
        <v>38</v>
      </c>
      <c r="N2" s="1"/>
    </row>
    <row r="3" spans="1:14" ht="36" customHeight="1">
      <c r="A3" s="146"/>
      <c r="B3" s="147">
        <f>Control_1 Open_time</f>
        <v>41062.416666666664</v>
      </c>
      <c r="C3" s="147">
        <f>Control_1 Close_time</f>
        <v>41062.45833333333</v>
      </c>
      <c r="D3" s="148"/>
      <c r="E3" s="149" t="str">
        <f>IF(ISBLANK(Control_1 Establishment_1),"",Control_1 Establishment_1)</f>
        <v>Serious Coffee</v>
      </c>
      <c r="F3" s="150"/>
      <c r="G3" s="151"/>
      <c r="H3" s="101" t="s">
        <v>38</v>
      </c>
      <c r="K3" s="31"/>
      <c r="N3" s="1"/>
    </row>
    <row r="4" spans="1:14" ht="36" customHeight="1">
      <c r="A4" s="152">
        <f>IF(ISBLANK(Distance Control_1),"",Control_1 Distance)</f>
        <v>0</v>
      </c>
      <c r="B4" s="153">
        <f>Control_1 Open_time</f>
        <v>41062.416666666664</v>
      </c>
      <c r="C4" s="153">
        <f>Control_1 Close_time</f>
        <v>41062.45833333333</v>
      </c>
      <c r="D4" s="149" t="str">
        <f>IF(ISBLANK(Locale Control_1),"",Locale Control_1)</f>
        <v>Chase River</v>
      </c>
      <c r="E4" s="149" t="str">
        <f>IF(ISBLANK(Control_1 Establishment_2),"",Control_1 Establishment_2)</f>
        <v>Country Grocer Mall</v>
      </c>
      <c r="F4" s="150"/>
      <c r="G4" s="151"/>
      <c r="H4" s="101" t="s">
        <v>38</v>
      </c>
      <c r="K4" s="31"/>
      <c r="N4" s="1"/>
    </row>
    <row r="5" spans="1:11" ht="36" customHeight="1" thickBot="1">
      <c r="A5" s="154"/>
      <c r="B5" s="155">
        <f>Control_1 Open_time</f>
        <v>41062.416666666664</v>
      </c>
      <c r="C5" s="155">
        <f>Control_1 Close_time</f>
        <v>41062.45833333333</v>
      </c>
      <c r="D5" s="156"/>
      <c r="E5" s="157" t="str">
        <f>IF(ISBLANK(Control_1 Establishment_3),"",Control_1 Establishment_3)</f>
        <v>Tenth@Lawlor</v>
      </c>
      <c r="F5" s="158"/>
      <c r="G5" s="159"/>
      <c r="H5" s="101" t="s">
        <v>38</v>
      </c>
      <c r="K5" s="31"/>
    </row>
    <row r="6" spans="1:11" ht="36" customHeight="1">
      <c r="A6" s="146"/>
      <c r="B6" s="147">
        <f>Control_2 Open_time</f>
        <v>41062.44652777778</v>
      </c>
      <c r="C6" s="147">
        <f>Control_2 Close_time</f>
        <v>41062.48472222222</v>
      </c>
      <c r="D6" s="160"/>
      <c r="E6" s="149" t="str">
        <f>IF(ISBLANK(Control_2 Establishment_1),"",Control_2 Establishment_1)</f>
        <v>Lantzville Market</v>
      </c>
      <c r="F6" s="150"/>
      <c r="G6" s="151"/>
      <c r="H6" s="101" t="s">
        <v>38</v>
      </c>
      <c r="K6" s="31"/>
    </row>
    <row r="7" spans="1:11" ht="36" customHeight="1">
      <c r="A7" s="152">
        <f>IF(ISBLANK(Distance Control_2),"",Control_2 Distance)</f>
        <v>24.499999999999996</v>
      </c>
      <c r="B7" s="153">
        <f>Control_2 Open_time</f>
        <v>41062.44652777778</v>
      </c>
      <c r="C7" s="153">
        <f>Control_2 Close_time</f>
        <v>41062.48472222222</v>
      </c>
      <c r="D7" s="149" t="str">
        <f>IF(ISBLANK(Locale Control_2),"",Locale Control_2)</f>
        <v>Lantzville</v>
      </c>
      <c r="E7" s="149" t="str">
        <f>IF(ISBLANK(Control_2 Establishment_2),"",Control_2 Establishment_2)</f>
        <v>Lantzville Road</v>
      </c>
      <c r="F7" s="150"/>
      <c r="G7" s="151"/>
      <c r="H7" s="101" t="s">
        <v>38</v>
      </c>
      <c r="K7" s="31"/>
    </row>
    <row r="8" spans="1:20" ht="36" customHeight="1" thickBot="1">
      <c r="A8" s="154"/>
      <c r="B8" s="155">
        <f>Control_2 Open_time</f>
        <v>41062.44652777778</v>
      </c>
      <c r="C8" s="155">
        <f>Control_2 Close_time</f>
        <v>41062.48472222222</v>
      </c>
      <c r="D8" s="156"/>
      <c r="E8" s="157">
        <f>IF(ISBLANK(Control_2 Establishment_3),"",Control_2 Establishment_3)</f>
      </c>
      <c r="F8" s="158"/>
      <c r="G8" s="159"/>
      <c r="H8" s="101" t="s">
        <v>38</v>
      </c>
      <c r="J8" s="34" t="s">
        <v>43</v>
      </c>
      <c r="K8" s="33"/>
      <c r="L8" s="33"/>
      <c r="M8" s="33"/>
      <c r="N8" s="33"/>
      <c r="O8" s="33"/>
      <c r="P8" s="33"/>
      <c r="Q8" s="33"/>
      <c r="R8" s="33"/>
      <c r="S8" s="33"/>
      <c r="T8" s="33"/>
    </row>
    <row r="9" spans="1:19" ht="36" customHeight="1">
      <c r="A9" s="146"/>
      <c r="B9" s="147">
        <f>Control_3 Open_time</f>
        <v>41062.48055555555</v>
      </c>
      <c r="C9" s="147">
        <f>Control_3 Close_time</f>
        <v>41062.56111111111</v>
      </c>
      <c r="D9" s="160"/>
      <c r="E9" s="149" t="str">
        <f>IF(ISBLANK(Control_3 Establishment_1),"",Control_3 Establishment_1)</f>
        <v>Serious Coffee</v>
      </c>
      <c r="F9" s="150"/>
      <c r="G9" s="151"/>
      <c r="H9" s="101" t="s">
        <v>38</v>
      </c>
      <c r="J9" s="39" t="str">
        <f>IF(ISBLANK(brevet),"",brevet&amp;" km Randonnée")</f>
        <v>100 km Randonnée</v>
      </c>
      <c r="K9" s="40"/>
      <c r="L9" s="32"/>
      <c r="M9" s="32"/>
      <c r="N9" s="32"/>
      <c r="O9" s="32"/>
      <c r="P9" s="32"/>
      <c r="Q9" s="32"/>
      <c r="R9" s="32"/>
      <c r="S9" s="32"/>
    </row>
    <row r="10" spans="1:20" ht="36" customHeight="1">
      <c r="A10" s="152">
        <f>IF(ISBLANK(Distance Control_3),"",Control_3 Distance)</f>
        <v>51.9</v>
      </c>
      <c r="B10" s="153">
        <f>Control_3 Open_time</f>
        <v>41062.48055555555</v>
      </c>
      <c r="C10" s="153">
        <f>Control_3 Close_time</f>
        <v>41062.56111111111</v>
      </c>
      <c r="D10" s="149" t="str">
        <f>IF(ISBLANK(Locale Control_3),"",Locale Control_3)</f>
        <v>Chase River</v>
      </c>
      <c r="E10" s="149" t="str">
        <f>IF(ISBLANK(Control_3 Establishment_2),"",Control_3 Establishment_2)</f>
        <v>Country Grocer Mall</v>
      </c>
      <c r="F10" s="150"/>
      <c r="G10" s="151"/>
      <c r="H10" s="101" t="s">
        <v>38</v>
      </c>
      <c r="J10" s="38" t="str">
        <f>IF(ISBLANK(Brevet_Description),"",Brevet_Description)</f>
        <v>Nanaimo Populaire:  Nanaimo--Lantzville--Nanaimo</v>
      </c>
      <c r="K10" s="36"/>
      <c r="L10" s="36"/>
      <c r="M10" s="36"/>
      <c r="N10" s="36"/>
      <c r="O10" s="36"/>
      <c r="P10" s="36"/>
      <c r="Q10" s="36"/>
      <c r="R10" s="36"/>
      <c r="S10" s="36"/>
      <c r="T10" s="36"/>
    </row>
    <row r="11" spans="1:20" ht="36" customHeight="1" thickBot="1">
      <c r="A11" s="154"/>
      <c r="B11" s="155">
        <f>Control_3 Open_time</f>
        <v>41062.48055555555</v>
      </c>
      <c r="C11" s="155">
        <f>Control_3 Close_time</f>
        <v>41062.56111111111</v>
      </c>
      <c r="D11" s="156"/>
      <c r="E11" s="157" t="str">
        <f>IF(ISBLANK(Control_3 Establishment_3),"",Control_3 Establishment_3)</f>
        <v>Tenth@Lawlor</v>
      </c>
      <c r="F11" s="158"/>
      <c r="G11" s="159"/>
      <c r="H11" s="101" t="s">
        <v>38</v>
      </c>
      <c r="K11" s="37"/>
      <c r="L11" s="37"/>
      <c r="M11" s="37"/>
      <c r="N11" s="37"/>
      <c r="O11" s="37"/>
      <c r="P11" s="37"/>
      <c r="Q11" s="37"/>
      <c r="R11" s="37"/>
      <c r="S11" s="37"/>
      <c r="T11" s="37"/>
    </row>
    <row r="12" spans="1:20" ht="36" customHeight="1" thickBot="1">
      <c r="A12" s="146"/>
      <c r="B12" s="147">
        <f>Control_4 Open_time</f>
      </c>
      <c r="C12" s="147">
        <f>Control_4 Close_time</f>
      </c>
      <c r="D12" s="160"/>
      <c r="E12" s="149">
        <f>IF(ISBLANK(Control_4 Establishment_1),"",Control_4 Establishment_1)</f>
      </c>
      <c r="F12" s="150"/>
      <c r="G12" s="151"/>
      <c r="H12" s="101" t="s">
        <v>38</v>
      </c>
      <c r="J12" s="35" t="s">
        <v>44</v>
      </c>
      <c r="L12" s="161" t="str">
        <f>IF(ISBLANK(Surname),"",First_Name&amp;" "&amp;Initial&amp;" "&amp;Surname)</f>
        <v>  </v>
      </c>
      <c r="M12" s="52"/>
      <c r="N12" s="52"/>
      <c r="O12" s="52"/>
      <c r="P12" s="52"/>
      <c r="Q12" s="52"/>
      <c r="R12" s="52"/>
      <c r="S12" s="52"/>
      <c r="T12" s="51"/>
    </row>
    <row r="13" spans="1:20" ht="36" customHeight="1" thickBot="1">
      <c r="A13" s="152">
        <f>IF(ISBLANK(Distance Control_4),"",Control_4 Distance)</f>
      </c>
      <c r="B13" s="153">
        <f>Control_4 Open_time</f>
      </c>
      <c r="C13" s="153">
        <f>Control_4 Close_time</f>
      </c>
      <c r="D13" s="149">
        <f>IF(ISBLANK(Locale Control_4),"",Locale Control_4)</f>
      </c>
      <c r="E13" s="149">
        <f>IF(ISBLANK(Control_4 Establishment_2),"",Control_4 Establishment_2)</f>
      </c>
      <c r="F13" s="150"/>
      <c r="G13" s="151"/>
      <c r="H13" s="101" t="s">
        <v>38</v>
      </c>
      <c r="J13" s="35" t="s">
        <v>45</v>
      </c>
      <c r="K13" s="35"/>
      <c r="L13" s="162">
        <f>IF(ISBLANK(Address_1),"",Address_1)</f>
      </c>
      <c r="M13" s="53"/>
      <c r="N13" s="53"/>
      <c r="O13" s="53"/>
      <c r="P13" s="53"/>
      <c r="Q13" s="53"/>
      <c r="R13" s="53"/>
      <c r="S13" s="53"/>
      <c r="T13" s="49"/>
    </row>
    <row r="14" spans="1:20" ht="36" customHeight="1" thickBot="1">
      <c r="A14" s="154"/>
      <c r="B14" s="155">
        <f>Control_4 Open_time</f>
      </c>
      <c r="C14" s="155">
        <f>Control_4 Close_time</f>
      </c>
      <c r="D14" s="156"/>
      <c r="E14" s="157">
        <f>IF(ISBLANK(Control_4 Establishment_3),"",Control_4 Establishment_3)</f>
      </c>
      <c r="F14" s="158"/>
      <c r="G14" s="159"/>
      <c r="H14" s="101" t="s">
        <v>38</v>
      </c>
      <c r="J14" s="35"/>
      <c r="K14" s="35"/>
      <c r="L14" s="162">
        <f>IF(ISBLANK(Address_2),"",Address_2)</f>
      </c>
      <c r="M14" s="53"/>
      <c r="N14" s="53"/>
      <c r="O14" s="53"/>
      <c r="P14" s="53"/>
      <c r="Q14" s="53"/>
      <c r="R14" s="53"/>
      <c r="S14" s="53"/>
      <c r="T14" s="49"/>
    </row>
    <row r="15" spans="1:20" ht="36" customHeight="1" thickBot="1">
      <c r="A15" s="146"/>
      <c r="B15" s="147">
        <f>Control_5 Open_time</f>
      </c>
      <c r="C15" s="147">
        <f>Control_5 Close_time</f>
      </c>
      <c r="D15" s="160"/>
      <c r="E15" s="149">
        <f>IF(ISBLANK(Control_5 Establishment_1),"",Control_5 Establishment_1)</f>
      </c>
      <c r="F15" s="150"/>
      <c r="G15" s="151"/>
      <c r="H15" s="101" t="s">
        <v>38</v>
      </c>
      <c r="J15" s="35" t="s">
        <v>46</v>
      </c>
      <c r="K15" s="35"/>
      <c r="L15" s="162">
        <f>IF(ISBLANK(City),"",City)</f>
      </c>
      <c r="M15" s="53"/>
      <c r="N15" s="53"/>
      <c r="O15" s="54"/>
      <c r="P15" s="54" t="s">
        <v>47</v>
      </c>
      <c r="Q15" s="54"/>
      <c r="R15" s="54"/>
      <c r="S15" s="162">
        <f>IF(ISBLANK(Province_State),"",Province_State)</f>
      </c>
      <c r="T15" s="49"/>
    </row>
    <row r="16" spans="1:20" ht="36" customHeight="1" thickBot="1">
      <c r="A16" s="152">
        <f>IF(ISBLANK(Distance Control_5),"",Control_5 Distance)</f>
      </c>
      <c r="B16" s="153">
        <f>Control_5 Open_time</f>
      </c>
      <c r="C16" s="153">
        <f>Control_5 Close_time</f>
      </c>
      <c r="D16" s="149">
        <f>IF(ISBLANK(Locale Control_5),"",Locale Control_5)</f>
      </c>
      <c r="E16" s="149">
        <f>IF(ISBLANK(Control_5 Establishment_2),"",Control_5 Establishment_2)</f>
      </c>
      <c r="F16" s="150"/>
      <c r="G16" s="151"/>
      <c r="H16" s="101" t="s">
        <v>38</v>
      </c>
      <c r="J16" s="35" t="s">
        <v>48</v>
      </c>
      <c r="K16" s="35"/>
      <c r="L16" s="162">
        <f>IF(ISBLANK(Country),"",Country)</f>
      </c>
      <c r="M16" s="53"/>
      <c r="N16" s="53"/>
      <c r="O16" s="54"/>
      <c r="P16" s="54" t="s">
        <v>49</v>
      </c>
      <c r="Q16" s="54"/>
      <c r="R16" s="54"/>
      <c r="S16" s="162">
        <f>IF(ISBLANK(Postal_Code),"",Postal_Code)</f>
      </c>
      <c r="T16" s="49"/>
    </row>
    <row r="17" spans="1:19" ht="36" customHeight="1" thickBot="1">
      <c r="A17" s="154"/>
      <c r="B17" s="155">
        <f>Control_5 Open_time</f>
      </c>
      <c r="C17" s="155">
        <f>Control_5 Close_time</f>
      </c>
      <c r="D17" s="156"/>
      <c r="E17" s="157">
        <f>IF(ISBLANK(Control_5 Establishment_3),"",Control_5 Establishment_3)</f>
      </c>
      <c r="F17" s="158"/>
      <c r="G17" s="159"/>
      <c r="H17" s="101" t="s">
        <v>38</v>
      </c>
      <c r="L17" s="55"/>
      <c r="M17" s="55"/>
      <c r="N17" s="55"/>
      <c r="O17" s="55"/>
      <c r="P17" s="55"/>
      <c r="Q17" s="55"/>
      <c r="R17" s="55"/>
      <c r="S17" s="55"/>
    </row>
    <row r="18" spans="1:20" ht="36" customHeight="1" thickBot="1">
      <c r="A18" s="146"/>
      <c r="B18" s="147">
        <f>Control_6 Open_time</f>
      </c>
      <c r="C18" s="147">
        <f>Control_6 Close_time</f>
      </c>
      <c r="D18" s="160"/>
      <c r="E18" s="149">
        <f>IF(ISBLANK(Control_6 Establishment_1),"",Control_6 Establishment_1)</f>
      </c>
      <c r="F18" s="150"/>
      <c r="G18" s="151"/>
      <c r="H18" s="101" t="s">
        <v>38</v>
      </c>
      <c r="J18" s="35" t="s">
        <v>50</v>
      </c>
      <c r="L18" s="163">
        <f>IF(ISBLANK(Home_telephone),"",Home_telephone)</f>
      </c>
      <c r="M18" s="86"/>
      <c r="N18" s="86"/>
      <c r="O18" s="55"/>
      <c r="P18" s="54" t="s">
        <v>51</v>
      </c>
      <c r="Q18" s="164">
        <f>IF(ISBLANK(email),"",email)</f>
      </c>
      <c r="R18" s="56"/>
      <c r="S18" s="56"/>
      <c r="T18" s="50"/>
    </row>
    <row r="19" spans="1:19" ht="36" customHeight="1">
      <c r="A19" s="152">
        <f>IF(ISBLANK(Distance Control_6),"",Control_6 Distance)</f>
      </c>
      <c r="B19" s="153">
        <f>Control_6 Open_time</f>
      </c>
      <c r="C19" s="153">
        <f>Control_6 Close_time</f>
      </c>
      <c r="D19" s="149">
        <f>IF(ISBLANK(Locale Control_6),"",Locale Control_6)</f>
      </c>
      <c r="E19" s="149">
        <f>IF(ISBLANK(Control_6 Establishment_2),"",Control_6 Establishment_2)</f>
      </c>
      <c r="F19" s="150"/>
      <c r="G19" s="151"/>
      <c r="H19" s="101" t="s">
        <v>38</v>
      </c>
      <c r="L19" s="55"/>
      <c r="M19" s="55"/>
      <c r="N19" s="55"/>
      <c r="O19" s="55"/>
      <c r="P19" s="55"/>
      <c r="Q19" s="55"/>
      <c r="R19" s="55"/>
      <c r="S19" s="55"/>
    </row>
    <row r="20" spans="1:20" ht="36" customHeight="1" thickBot="1">
      <c r="A20" s="154"/>
      <c r="B20" s="155">
        <f>Control_6 Open_time</f>
      </c>
      <c r="C20" s="155">
        <f>Control_6 Close_time</f>
      </c>
      <c r="D20" s="156"/>
      <c r="E20" s="157">
        <f>IF(ISBLANK(Control_6 Establishment_3),"",Control_6 Establishment_3)</f>
      </c>
      <c r="F20" s="158"/>
      <c r="G20" s="159"/>
      <c r="H20" s="101" t="s">
        <v>38</v>
      </c>
      <c r="J20" s="42" t="s">
        <v>52</v>
      </c>
      <c r="K20" s="42"/>
      <c r="L20" s="57"/>
      <c r="M20" s="58"/>
      <c r="N20" s="57"/>
      <c r="O20" s="57"/>
      <c r="P20" s="57"/>
      <c r="Q20" s="57"/>
      <c r="R20" s="57"/>
      <c r="S20" s="57"/>
      <c r="T20" s="42"/>
    </row>
    <row r="21" spans="1:20" ht="36" customHeight="1">
      <c r="A21" s="146"/>
      <c r="B21" s="147">
        <f>Control_7 Open_time</f>
      </c>
      <c r="C21" s="147">
        <f>Control_7 Close_time</f>
      </c>
      <c r="D21" s="160"/>
      <c r="E21" s="149">
        <f>IF(ISBLANK(Control_7 Establishment_1),"",Control_7 Establishment_1)</f>
      </c>
      <c r="F21" s="150"/>
      <c r="G21" s="151"/>
      <c r="H21" s="101" t="s">
        <v>38</v>
      </c>
      <c r="J21" s="42" t="s">
        <v>53</v>
      </c>
      <c r="K21" s="42"/>
      <c r="L21" s="57"/>
      <c r="M21" s="57"/>
      <c r="N21" s="57"/>
      <c r="O21" s="57"/>
      <c r="P21" s="57"/>
      <c r="Q21" s="57"/>
      <c r="R21" s="57"/>
      <c r="S21" s="57"/>
      <c r="T21" s="42"/>
    </row>
    <row r="22" spans="1:19" ht="36" customHeight="1">
      <c r="A22" s="152">
        <f>IF(ISBLANK(Distance Control_7),"",Control_7 Distance)</f>
      </c>
      <c r="B22" s="153">
        <f>Control_7 Open_time</f>
      </c>
      <c r="C22" s="153">
        <f>Control_7 Close_time</f>
      </c>
      <c r="D22" s="149">
        <f>IF(ISBLANK(Locale Control_7),"",Locale Control_7)</f>
      </c>
      <c r="E22" s="149">
        <f>IF(ISBLANK(Control_7 Establishment_2),"",Control_7 Establishment_2)</f>
      </c>
      <c r="F22" s="150"/>
      <c r="G22" s="151"/>
      <c r="H22" s="101" t="s">
        <v>38</v>
      </c>
      <c r="L22" s="55"/>
      <c r="M22" s="55"/>
      <c r="N22" s="55"/>
      <c r="O22" s="55"/>
      <c r="P22" s="55"/>
      <c r="Q22" s="55"/>
      <c r="R22" s="55"/>
      <c r="S22" s="55"/>
    </row>
    <row r="23" spans="1:20" ht="36" customHeight="1" thickBot="1">
      <c r="A23" s="154"/>
      <c r="B23" s="155">
        <f>Control_7 Open_time</f>
      </c>
      <c r="C23" s="155">
        <f>Control_7 Close_time</f>
      </c>
      <c r="D23" s="156"/>
      <c r="E23" s="157">
        <f>IF(ISBLANK(Control_7 Establishment_3),"",Control_7 Establishment_3)</f>
      </c>
      <c r="F23" s="158"/>
      <c r="G23" s="159"/>
      <c r="H23" s="101" t="s">
        <v>38</v>
      </c>
      <c r="J23" s="47" t="s">
        <v>54</v>
      </c>
      <c r="K23" s="47"/>
      <c r="L23" s="59"/>
      <c r="M23" s="59"/>
      <c r="N23" s="59"/>
      <c r="O23" s="59"/>
      <c r="P23" s="59"/>
      <c r="Q23" s="59"/>
      <c r="R23" s="59"/>
      <c r="S23" s="59"/>
      <c r="T23" s="47"/>
    </row>
    <row r="24" spans="1:20" ht="36" customHeight="1" thickBot="1">
      <c r="A24" s="146"/>
      <c r="B24" s="147">
        <f>Control_8 Open_time</f>
      </c>
      <c r="C24" s="147">
        <f>Control_8 Close_time</f>
      </c>
      <c r="D24" s="160"/>
      <c r="E24" s="149">
        <f>IF(ISBLANK(Control_8 Establishment_1),"",Control_8 Establishment_1)</f>
      </c>
      <c r="F24" s="150"/>
      <c r="G24" s="151"/>
      <c r="H24" s="101" t="s">
        <v>38</v>
      </c>
      <c r="J24" s="35" t="s">
        <v>55</v>
      </c>
      <c r="K24" s="43">
        <f>IF(ISBLANK(Start_date),"",Start_date)</f>
        <v>41062</v>
      </c>
      <c r="L24" s="60"/>
      <c r="M24" s="60"/>
      <c r="N24" s="55"/>
      <c r="O24" s="54" t="s">
        <v>56</v>
      </c>
      <c r="P24" s="55"/>
      <c r="Q24" s="56"/>
      <c r="R24" s="56"/>
      <c r="S24" s="56"/>
      <c r="T24" s="41"/>
    </row>
    <row r="25" spans="1:20" ht="36" customHeight="1" thickBot="1">
      <c r="A25" s="152">
        <f>IF(ISBLANK(Distance Control_8),"",Control_8 Distance)</f>
      </c>
      <c r="B25" s="153">
        <f>Control_8 Open_time</f>
      </c>
      <c r="C25" s="153">
        <f>Control_8 Close_time</f>
      </c>
      <c r="D25" s="149" t="str">
        <f>IF(ISBLANK(Locale Control_8),"",Locale Control_8)</f>
        <v>SECRET</v>
      </c>
      <c r="E25" s="149">
        <f>IF(ISBLANK(Control_8 Establishment_2),"",Control_8 Establishment_2)</f>
      </c>
      <c r="F25" s="150"/>
      <c r="G25" s="151"/>
      <c r="H25" s="101" t="s">
        <v>38</v>
      </c>
      <c r="L25" s="55"/>
      <c r="M25" s="55"/>
      <c r="N25" s="55"/>
      <c r="O25" s="54" t="s">
        <v>57</v>
      </c>
      <c r="P25" s="55"/>
      <c r="Q25" s="56"/>
      <c r="R25" s="56"/>
      <c r="S25" s="56"/>
      <c r="T25" s="41"/>
    </row>
    <row r="26" spans="1:20" ht="36" customHeight="1" thickBot="1">
      <c r="A26" s="154"/>
      <c r="B26" s="155">
        <f>Control_8 Open_time</f>
      </c>
      <c r="C26" s="155">
        <f>Control_8 Close_time</f>
      </c>
      <c r="D26" s="156"/>
      <c r="E26" s="157">
        <f>IF(ISBLANK(Control_8 Establishment_3),"",Control_8 Establishment_3)</f>
      </c>
      <c r="F26" s="158"/>
      <c r="G26" s="159"/>
      <c r="H26" s="101" t="s">
        <v>38</v>
      </c>
      <c r="J26" s="41"/>
      <c r="K26" s="41"/>
      <c r="L26" s="56"/>
      <c r="M26" s="56"/>
      <c r="N26" s="55"/>
      <c r="O26" s="54" t="s">
        <v>58</v>
      </c>
      <c r="P26" s="55"/>
      <c r="Q26" s="56"/>
      <c r="R26" s="56"/>
      <c r="S26" s="56"/>
      <c r="T26" s="41"/>
    </row>
    <row r="27" spans="1:19" ht="36" customHeight="1">
      <c r="A27" s="146"/>
      <c r="B27" s="147">
        <f>Control_9 Open_time</f>
      </c>
      <c r="C27" s="147">
        <f>Control_9 Close_time</f>
      </c>
      <c r="D27" s="160"/>
      <c r="E27" s="149">
        <f>IF(ISBLANK(Control_9 Establishment_1),"",Control_9 Establishment_1)</f>
      </c>
      <c r="F27" s="150"/>
      <c r="G27" s="151"/>
      <c r="H27" s="101" t="s">
        <v>38</v>
      </c>
      <c r="J27" s="44" t="s">
        <v>59</v>
      </c>
      <c r="K27" s="44"/>
      <c r="L27" s="61"/>
      <c r="M27" s="61"/>
      <c r="N27" s="55"/>
      <c r="O27" s="55"/>
      <c r="P27" s="55"/>
      <c r="Q27" s="55"/>
      <c r="R27" s="55"/>
      <c r="S27" s="55"/>
    </row>
    <row r="28" spans="1:19" ht="36" customHeight="1" thickBot="1">
      <c r="A28" s="152">
        <f>IF(ISBLANK(Distance Control_9),"",Control_9 Distance)</f>
      </c>
      <c r="B28" s="153">
        <f>Control_9 Open_time</f>
      </c>
      <c r="C28" s="153">
        <f>Control_9 Close_time</f>
      </c>
      <c r="D28" s="149" t="str">
        <f>IF(ISBLANK(Locale Control_9),"",Locale Control_9)</f>
        <v>SECRET</v>
      </c>
      <c r="E28" s="149">
        <f>IF(ISBLANK(Control_9 Establishment_2),"",Control_9 Establishment_2)</f>
      </c>
      <c r="F28" s="150"/>
      <c r="G28" s="151"/>
      <c r="H28" s="101" t="s">
        <v>38</v>
      </c>
      <c r="L28" s="59" t="s">
        <v>60</v>
      </c>
      <c r="M28" s="59"/>
      <c r="N28" s="59"/>
      <c r="O28" s="59"/>
      <c r="P28" s="59"/>
      <c r="Q28" s="59"/>
      <c r="R28" s="55"/>
      <c r="S28" s="55"/>
    </row>
    <row r="29" spans="1:19" ht="36" customHeight="1" thickBot="1">
      <c r="A29" s="154"/>
      <c r="B29" s="155">
        <f>Control_9 Open_time</f>
      </c>
      <c r="C29" s="155">
        <f>Control_9 Close_time</f>
      </c>
      <c r="D29" s="156"/>
      <c r="E29" s="157">
        <f>IF(ISBLANK(Control_9 Establishment_3),"",Control_9 Establishment_3)</f>
      </c>
      <c r="F29" s="158"/>
      <c r="G29" s="159"/>
      <c r="H29" s="101" t="s">
        <v>38</v>
      </c>
      <c r="K29" s="45"/>
      <c r="L29" s="62"/>
      <c r="M29" s="62"/>
      <c r="N29" s="63"/>
      <c r="O29" s="64"/>
      <c r="P29" s="62"/>
      <c r="Q29" s="62"/>
      <c r="R29" s="63"/>
      <c r="S29" s="165" t="s">
        <v>202</v>
      </c>
    </row>
    <row r="30" spans="1:19" ht="36" customHeight="1">
      <c r="A30" s="146"/>
      <c r="B30" s="147">
        <f>Control_10 Open_time</f>
      </c>
      <c r="C30" s="147">
        <f>Control_10 Close_time</f>
      </c>
      <c r="D30" s="160"/>
      <c r="E30" s="149">
        <f>IF(ISBLANK(Control_10 Establishment_1),"",Control_10 Establishment_1)</f>
      </c>
      <c r="F30" s="150"/>
      <c r="G30" s="151"/>
      <c r="H30" s="101" t="s">
        <v>38</v>
      </c>
      <c r="K30" s="48"/>
      <c r="L30" s="65"/>
      <c r="M30" s="65"/>
      <c r="N30" s="66"/>
      <c r="O30" s="67"/>
      <c r="P30" s="65"/>
      <c r="Q30" s="65"/>
      <c r="R30" s="66"/>
      <c r="S30" s="166" t="s">
        <v>203</v>
      </c>
    </row>
    <row r="31" spans="1:21" ht="36" customHeight="1" thickBot="1">
      <c r="A31" s="152">
        <f>IF(ISBLANK(Distance Control_10),"",Control_10 Distance)</f>
      </c>
      <c r="B31" s="153">
        <f>Control_10 Open_time</f>
      </c>
      <c r="C31" s="153">
        <f>Control_10 Close_time</f>
      </c>
      <c r="D31" s="149" t="str">
        <f>IF(ISBLANK(Locale Control_10),"",Locale Control_10)</f>
        <v>SECRET</v>
      </c>
      <c r="E31" s="149">
        <f>IF(ISBLANK(Control_10 Establishment_2),"",Control_10 Establishment_2)</f>
      </c>
      <c r="F31" s="150"/>
      <c r="G31" s="151"/>
      <c r="H31" s="101" t="s">
        <v>38</v>
      </c>
      <c r="K31" s="46"/>
      <c r="L31" s="56"/>
      <c r="M31" s="56"/>
      <c r="N31" s="68"/>
      <c r="O31" s="69"/>
      <c r="P31" s="56"/>
      <c r="Q31" s="56"/>
      <c r="R31" s="68"/>
      <c r="S31" s="55"/>
      <c r="U31" s="42"/>
    </row>
    <row r="32" spans="1:21" ht="36" customHeight="1" thickBot="1">
      <c r="A32" s="154"/>
      <c r="B32" s="155">
        <f>Control_10 Open_time</f>
      </c>
      <c r="C32" s="155">
        <f>Control_10 Close_time</f>
      </c>
      <c r="D32" s="156"/>
      <c r="E32" s="157">
        <f>IF(ISBLANK(Control_10 Establishment_3),"",Control_10 Establishment_3)</f>
      </c>
      <c r="F32" s="158"/>
      <c r="G32" s="159"/>
      <c r="H32" s="101" t="s">
        <v>38</v>
      </c>
      <c r="L32" s="54" t="s">
        <v>61</v>
      </c>
      <c r="M32" s="55"/>
      <c r="N32" s="53" t="str">
        <f>IF(ISBLANK(Brevet_Number),"",Brevet_Number)</f>
        <v>VI0050C</v>
      </c>
      <c r="O32" s="53"/>
      <c r="P32" s="53"/>
      <c r="Q32" s="55"/>
      <c r="R32" s="55"/>
      <c r="S32" s="55"/>
      <c r="U32" s="42"/>
    </row>
    <row r="33" ht="12">
      <c r="H33" s="102"/>
    </row>
  </sheetData>
  <sheetProtection/>
  <printOptions/>
  <pageMargins left="0.1968503937007874" right="0.1968503937007874" top="0.1968503937007874" bottom="0.1968503937007874" header="0.5118110236220472" footer="0.5118110236220472"/>
  <pageSetup orientation="landscape" scale="50"/>
  <drawing r:id="rId1"/>
</worksheet>
</file>

<file path=xl/worksheets/sheet3.xml><?xml version="1.0" encoding="utf-8"?>
<worksheet xmlns="http://schemas.openxmlformats.org/spreadsheetml/2006/main" xmlns:r="http://schemas.openxmlformats.org/officeDocument/2006/relationships">
  <dimension ref="A1:R40"/>
  <sheetViews>
    <sheetView workbookViewId="0" topLeftCell="A1">
      <pane xSplit="3" ySplit="2" topLeftCell="M3" activePane="bottomRight" state="frozen"/>
      <selection pane="topLeft" activeCell="A1" sqref="A1"/>
      <selection pane="topRight" activeCell="D1" sqref="D1"/>
      <selection pane="bottomLeft" activeCell="A3" sqref="A3"/>
      <selection pane="bottomRight" activeCell="S1" sqref="S1:S65536"/>
    </sheetView>
  </sheetViews>
  <sheetFormatPr defaultColWidth="8.8515625" defaultRowHeight="12.75"/>
  <cols>
    <col min="1" max="1" width="3.00390625" style="0" customWidth="1"/>
    <col min="2" max="2" width="14.421875" style="0" customWidth="1"/>
    <col min="3" max="3" width="15.00390625" style="0" customWidth="1"/>
    <col min="4" max="4" width="6.140625" style="0" bestFit="1" customWidth="1"/>
    <col min="5" max="6" width="30.7109375" style="0" customWidth="1"/>
    <col min="7" max="7" width="15.7109375" style="0" customWidth="1"/>
    <col min="8" max="8" width="9.00390625" style="0" bestFit="1" customWidth="1"/>
    <col min="9" max="9" width="8.00390625" style="0" bestFit="1" customWidth="1"/>
    <col min="10" max="10" width="11.8515625" style="0" bestFit="1" customWidth="1"/>
    <col min="11" max="11" width="16.00390625" style="0" bestFit="1" customWidth="1"/>
    <col min="12" max="12" width="15.421875" style="0" bestFit="1" customWidth="1"/>
    <col min="13" max="13" width="13.28125" style="0" bestFit="1" customWidth="1"/>
    <col min="14" max="14" width="34.140625" style="0" customWidth="1"/>
    <col min="15" max="16" width="9.421875" style="0" customWidth="1"/>
    <col min="17" max="17" width="9.00390625" style="0" customWidth="1"/>
    <col min="18" max="18" width="8.8515625" style="0" customWidth="1"/>
  </cols>
  <sheetData>
    <row r="1" spans="1:18" ht="24.75" thickBot="1">
      <c r="A1" s="89"/>
      <c r="B1" s="87" t="s">
        <v>62</v>
      </c>
      <c r="C1" s="87" t="s">
        <v>63</v>
      </c>
      <c r="D1" s="87" t="s">
        <v>64</v>
      </c>
      <c r="E1" s="87" t="s">
        <v>65</v>
      </c>
      <c r="F1" s="87" t="s">
        <v>66</v>
      </c>
      <c r="G1" s="87" t="s">
        <v>46</v>
      </c>
      <c r="H1" s="94" t="s">
        <v>47</v>
      </c>
      <c r="I1" s="87" t="s">
        <v>48</v>
      </c>
      <c r="J1" s="87" t="s">
        <v>49</v>
      </c>
      <c r="K1" s="83" t="s">
        <v>67</v>
      </c>
      <c r="L1" s="83" t="s">
        <v>68</v>
      </c>
      <c r="M1" s="85" t="s">
        <v>69</v>
      </c>
      <c r="N1" s="88" t="s">
        <v>51</v>
      </c>
      <c r="O1" s="105" t="s">
        <v>70</v>
      </c>
      <c r="P1" s="105" t="s">
        <v>176</v>
      </c>
      <c r="Q1" s="105" t="s">
        <v>71</v>
      </c>
      <c r="R1" s="105" t="s">
        <v>72</v>
      </c>
    </row>
    <row r="2" spans="1:18" ht="12">
      <c r="A2" s="89"/>
      <c r="B2" s="95">
        <f>IF(ISBLANK(B3),"",B3)</f>
      </c>
      <c r="C2" s="95">
        <f aca="true" t="shared" si="0" ref="C2:N2">IF(ISBLANK(C3),"",C3)</f>
      </c>
      <c r="D2" s="95">
        <f t="shared" si="0"/>
      </c>
      <c r="E2" s="95">
        <f t="shared" si="0"/>
      </c>
      <c r="F2" s="95">
        <f t="shared" si="0"/>
      </c>
      <c r="G2" s="95">
        <f t="shared" si="0"/>
      </c>
      <c r="H2" s="95">
        <f t="shared" si="0"/>
      </c>
      <c r="I2" s="95">
        <f t="shared" si="0"/>
      </c>
      <c r="J2" s="95">
        <f t="shared" si="0"/>
      </c>
      <c r="K2" s="96">
        <f t="shared" si="0"/>
      </c>
      <c r="L2" s="96">
        <f t="shared" si="0"/>
      </c>
      <c r="M2" s="96">
        <f t="shared" si="0"/>
      </c>
      <c r="N2" s="95">
        <f t="shared" si="0"/>
      </c>
      <c r="O2" s="106"/>
      <c r="P2" s="167"/>
      <c r="Q2" s="106"/>
      <c r="R2" s="106"/>
    </row>
    <row r="3" spans="1:18" ht="12">
      <c r="A3" s="97">
        <v>1</v>
      </c>
      <c r="B3" s="90"/>
      <c r="C3" s="90"/>
      <c r="D3" s="90"/>
      <c r="E3" s="90"/>
      <c r="F3" s="90"/>
      <c r="G3" s="90"/>
      <c r="H3" s="90"/>
      <c r="I3" s="90"/>
      <c r="J3" s="90"/>
      <c r="K3" s="91"/>
      <c r="L3" s="91"/>
      <c r="M3" s="91"/>
      <c r="N3" s="90"/>
      <c r="O3" s="107"/>
      <c r="P3" s="115"/>
      <c r="Q3" s="107"/>
      <c r="R3" s="107"/>
    </row>
    <row r="4" spans="2:18" ht="12">
      <c r="B4" s="90"/>
      <c r="C4" s="90"/>
      <c r="D4" s="90"/>
      <c r="E4" s="90"/>
      <c r="F4" s="90"/>
      <c r="G4" s="90"/>
      <c r="H4" s="90"/>
      <c r="I4" s="90"/>
      <c r="J4" s="90"/>
      <c r="K4" s="91"/>
      <c r="L4" s="91"/>
      <c r="M4" s="91"/>
      <c r="N4" s="90"/>
      <c r="O4" s="115"/>
      <c r="P4" s="115"/>
      <c r="Q4" s="115"/>
      <c r="R4" s="107"/>
    </row>
    <row r="5" spans="1:18" ht="12">
      <c r="A5" s="97"/>
      <c r="B5" s="90"/>
      <c r="C5" s="90"/>
      <c r="D5" s="90"/>
      <c r="E5" s="90"/>
      <c r="F5" s="90"/>
      <c r="G5" s="90"/>
      <c r="H5" s="90"/>
      <c r="I5" s="90"/>
      <c r="J5" s="90"/>
      <c r="K5" s="91"/>
      <c r="L5" s="91"/>
      <c r="M5" s="91"/>
      <c r="N5" s="90"/>
      <c r="O5" s="107"/>
      <c r="P5" s="107"/>
      <c r="Q5" s="107"/>
      <c r="R5" s="107"/>
    </row>
    <row r="6" spans="1:18" ht="12">
      <c r="A6" s="97"/>
      <c r="B6" s="90"/>
      <c r="C6" s="90"/>
      <c r="D6" s="90"/>
      <c r="E6" s="90"/>
      <c r="F6" s="90"/>
      <c r="G6" s="90"/>
      <c r="H6" s="90"/>
      <c r="I6" s="90"/>
      <c r="J6" s="90"/>
      <c r="K6" s="91"/>
      <c r="L6" s="91"/>
      <c r="M6" s="91"/>
      <c r="N6" s="90"/>
      <c r="O6" s="107"/>
      <c r="P6" s="107"/>
      <c r="Q6" s="107"/>
      <c r="R6" s="107"/>
    </row>
    <row r="7" spans="2:18" ht="12">
      <c r="B7" s="90"/>
      <c r="C7" s="90"/>
      <c r="D7" s="90"/>
      <c r="E7" s="90"/>
      <c r="F7" s="90"/>
      <c r="G7" s="90"/>
      <c r="H7" s="90"/>
      <c r="I7" s="90"/>
      <c r="J7" s="90"/>
      <c r="K7" s="91"/>
      <c r="L7" s="91"/>
      <c r="M7" s="91"/>
      <c r="N7" s="90"/>
      <c r="O7" s="115"/>
      <c r="P7" s="107"/>
      <c r="Q7" s="115"/>
      <c r="R7" s="107"/>
    </row>
    <row r="8" spans="1:18" ht="12">
      <c r="A8" s="97"/>
      <c r="B8" s="90"/>
      <c r="C8" s="90"/>
      <c r="D8" s="90"/>
      <c r="E8" s="90"/>
      <c r="F8" s="90"/>
      <c r="G8" s="90"/>
      <c r="H8" s="90"/>
      <c r="I8" s="90"/>
      <c r="J8" s="90"/>
      <c r="K8" s="91"/>
      <c r="L8" s="91"/>
      <c r="M8" s="91"/>
      <c r="N8" s="90"/>
      <c r="O8" s="107"/>
      <c r="P8" s="115"/>
      <c r="Q8" s="107"/>
      <c r="R8" s="107"/>
    </row>
    <row r="9" spans="2:18" ht="12">
      <c r="B9" s="90"/>
      <c r="C9" s="90"/>
      <c r="D9" s="90"/>
      <c r="E9" s="90"/>
      <c r="F9" s="90"/>
      <c r="G9" s="90"/>
      <c r="H9" s="90"/>
      <c r="I9" s="90"/>
      <c r="J9" s="90"/>
      <c r="K9" s="91"/>
      <c r="L9" s="91"/>
      <c r="M9" s="91"/>
      <c r="N9" s="90"/>
      <c r="O9" s="115"/>
      <c r="P9" s="115"/>
      <c r="Q9" s="115"/>
      <c r="R9" s="107"/>
    </row>
    <row r="10" spans="1:18" ht="12">
      <c r="A10" s="97"/>
      <c r="B10" s="90"/>
      <c r="C10" s="90"/>
      <c r="D10" s="90"/>
      <c r="E10" s="90"/>
      <c r="F10" s="90"/>
      <c r="G10" s="90"/>
      <c r="H10" s="90"/>
      <c r="I10" s="90"/>
      <c r="J10" s="90"/>
      <c r="K10" s="91"/>
      <c r="L10" s="91"/>
      <c r="M10" s="91"/>
      <c r="N10" s="90"/>
      <c r="O10" s="107"/>
      <c r="P10" s="115"/>
      <c r="Q10" s="107"/>
      <c r="R10" s="107"/>
    </row>
    <row r="11" spans="2:18" ht="12">
      <c r="B11" s="90"/>
      <c r="C11" s="90"/>
      <c r="D11" s="90"/>
      <c r="E11" s="90"/>
      <c r="F11" s="90"/>
      <c r="G11" s="90"/>
      <c r="H11" s="90"/>
      <c r="I11" s="90"/>
      <c r="J11" s="90"/>
      <c r="K11" s="91"/>
      <c r="L11" s="91"/>
      <c r="M11" s="91"/>
      <c r="N11" s="90"/>
      <c r="O11" s="115"/>
      <c r="P11" s="107"/>
      <c r="Q11" s="115"/>
      <c r="R11" s="107"/>
    </row>
    <row r="12" spans="1:18" ht="12">
      <c r="A12" s="97"/>
      <c r="B12" s="90"/>
      <c r="C12" s="90"/>
      <c r="D12" s="90"/>
      <c r="E12" s="90"/>
      <c r="F12" s="90"/>
      <c r="G12" s="90"/>
      <c r="H12" s="90"/>
      <c r="I12" s="90"/>
      <c r="J12" s="90"/>
      <c r="K12" s="91"/>
      <c r="L12" s="91"/>
      <c r="M12" s="91"/>
      <c r="N12" s="90"/>
      <c r="O12" s="107"/>
      <c r="P12" s="115"/>
      <c r="Q12" s="107"/>
      <c r="R12" s="107"/>
    </row>
    <row r="13" spans="1:18" ht="12">
      <c r="A13" s="97"/>
      <c r="B13" s="90"/>
      <c r="C13" s="90"/>
      <c r="D13" s="90"/>
      <c r="E13" s="90"/>
      <c r="F13" s="90"/>
      <c r="G13" s="90"/>
      <c r="H13" s="90"/>
      <c r="I13" s="90"/>
      <c r="J13" s="90"/>
      <c r="K13" s="91"/>
      <c r="L13" s="91"/>
      <c r="M13" s="91"/>
      <c r="N13" s="90"/>
      <c r="O13" s="107"/>
      <c r="P13" s="107"/>
      <c r="Q13" s="107"/>
      <c r="R13" s="107"/>
    </row>
    <row r="14" spans="1:18" ht="12">
      <c r="A14" s="97"/>
      <c r="B14" s="90"/>
      <c r="C14" s="90"/>
      <c r="D14" s="90"/>
      <c r="E14" s="90"/>
      <c r="F14" s="90"/>
      <c r="G14" s="90"/>
      <c r="H14" s="90"/>
      <c r="I14" s="90"/>
      <c r="J14" s="90"/>
      <c r="K14" s="91"/>
      <c r="L14" s="91"/>
      <c r="M14" s="91"/>
      <c r="N14" s="90"/>
      <c r="O14" s="107"/>
      <c r="P14" s="115"/>
      <c r="Q14" s="107"/>
      <c r="R14" s="107"/>
    </row>
    <row r="15" spans="1:18" ht="12">
      <c r="A15" s="97"/>
      <c r="B15" s="90"/>
      <c r="C15" s="90"/>
      <c r="D15" s="90"/>
      <c r="E15" s="90"/>
      <c r="F15" s="90"/>
      <c r="G15" s="90"/>
      <c r="H15" s="90"/>
      <c r="I15" s="90"/>
      <c r="J15" s="90"/>
      <c r="K15" s="91"/>
      <c r="L15" s="91"/>
      <c r="M15" s="91"/>
      <c r="N15" s="90"/>
      <c r="O15" s="107"/>
      <c r="P15" s="115"/>
      <c r="Q15" s="107"/>
      <c r="R15" s="107"/>
    </row>
    <row r="16" spans="1:18" ht="12">
      <c r="A16" s="97"/>
      <c r="B16" s="90"/>
      <c r="C16" s="90"/>
      <c r="D16" s="90"/>
      <c r="E16" s="90"/>
      <c r="F16" s="90"/>
      <c r="G16" s="90"/>
      <c r="H16" s="90"/>
      <c r="I16" s="90"/>
      <c r="J16" s="90"/>
      <c r="K16" s="91"/>
      <c r="L16" s="91"/>
      <c r="M16" s="91"/>
      <c r="N16" s="90"/>
      <c r="O16" s="107"/>
      <c r="P16" s="107"/>
      <c r="Q16" s="107"/>
      <c r="R16" s="107"/>
    </row>
    <row r="17" spans="1:18" ht="12">
      <c r="A17" s="97"/>
      <c r="B17" s="90"/>
      <c r="C17" s="90"/>
      <c r="D17" s="90"/>
      <c r="E17" s="90"/>
      <c r="F17" s="90"/>
      <c r="G17" s="90"/>
      <c r="H17" s="90"/>
      <c r="I17" s="90"/>
      <c r="J17" s="90"/>
      <c r="K17" s="93"/>
      <c r="L17" s="91"/>
      <c r="M17" s="91"/>
      <c r="N17" s="90"/>
      <c r="O17" s="107"/>
      <c r="P17" s="115"/>
      <c r="Q17" s="107"/>
      <c r="R17" s="107"/>
    </row>
    <row r="18" spans="1:18" ht="12">
      <c r="A18" s="97"/>
      <c r="B18" s="90"/>
      <c r="C18" s="90"/>
      <c r="D18" s="90"/>
      <c r="E18" s="103"/>
      <c r="F18" s="90"/>
      <c r="G18" s="90"/>
      <c r="H18" s="90"/>
      <c r="I18" s="90"/>
      <c r="J18" s="90"/>
      <c r="K18" s="91"/>
      <c r="L18" s="91"/>
      <c r="M18" s="91"/>
      <c r="N18" s="90"/>
      <c r="O18" s="107"/>
      <c r="P18" s="115"/>
      <c r="Q18" s="107"/>
      <c r="R18" s="107"/>
    </row>
    <row r="19" spans="1:18" ht="12">
      <c r="A19" s="97"/>
      <c r="B19" s="90"/>
      <c r="C19" s="90"/>
      <c r="D19" s="90"/>
      <c r="E19" s="90"/>
      <c r="F19" s="90"/>
      <c r="G19" s="90"/>
      <c r="H19" s="90"/>
      <c r="I19" s="90"/>
      <c r="J19" s="90"/>
      <c r="K19" s="91"/>
      <c r="L19" s="91"/>
      <c r="M19" s="91"/>
      <c r="N19" s="90"/>
      <c r="O19" s="107"/>
      <c r="P19" s="115"/>
      <c r="Q19" s="107"/>
      <c r="R19" s="107"/>
    </row>
    <row r="20" spans="1:18" ht="12">
      <c r="A20" s="97"/>
      <c r="B20" s="90"/>
      <c r="C20" s="90"/>
      <c r="D20" s="90"/>
      <c r="E20" s="90"/>
      <c r="F20" s="90"/>
      <c r="G20" s="90"/>
      <c r="H20" s="90"/>
      <c r="I20" s="90"/>
      <c r="J20" s="90"/>
      <c r="K20" s="91"/>
      <c r="L20" s="91"/>
      <c r="M20" s="91"/>
      <c r="N20" s="90"/>
      <c r="O20" s="107"/>
      <c r="P20" s="115"/>
      <c r="Q20" s="107"/>
      <c r="R20" s="107"/>
    </row>
    <row r="21" spans="1:18" ht="12">
      <c r="A21" s="97"/>
      <c r="B21" s="90"/>
      <c r="C21" s="90"/>
      <c r="D21" s="90"/>
      <c r="E21" s="90"/>
      <c r="F21" s="90"/>
      <c r="G21" s="90"/>
      <c r="H21" s="90"/>
      <c r="I21" s="90"/>
      <c r="J21" s="90"/>
      <c r="K21" s="91"/>
      <c r="L21" s="91"/>
      <c r="M21" s="91"/>
      <c r="N21" s="90"/>
      <c r="O21" s="107"/>
      <c r="P21" s="107"/>
      <c r="Q21" s="107"/>
      <c r="R21" s="107"/>
    </row>
    <row r="22" spans="1:18" ht="12">
      <c r="A22" s="97"/>
      <c r="B22" s="90"/>
      <c r="C22" s="90"/>
      <c r="D22" s="90"/>
      <c r="E22" s="90"/>
      <c r="F22" s="90"/>
      <c r="G22" s="90"/>
      <c r="H22" s="90"/>
      <c r="I22" s="90"/>
      <c r="J22" s="90"/>
      <c r="K22" s="91"/>
      <c r="L22" s="91"/>
      <c r="M22" s="91"/>
      <c r="N22" s="90"/>
      <c r="O22" s="107"/>
      <c r="P22" s="107"/>
      <c r="Q22" s="107"/>
      <c r="R22" s="107"/>
    </row>
    <row r="23" spans="1:18" ht="12">
      <c r="A23" s="97"/>
      <c r="B23" s="90"/>
      <c r="C23" s="90"/>
      <c r="D23" s="90"/>
      <c r="E23" s="90"/>
      <c r="F23" s="90"/>
      <c r="G23" s="90"/>
      <c r="H23" s="90"/>
      <c r="I23" s="90"/>
      <c r="J23" s="90"/>
      <c r="K23" s="91"/>
      <c r="L23" s="91"/>
      <c r="M23" s="91"/>
      <c r="N23" s="90"/>
      <c r="O23" s="107"/>
      <c r="P23" s="107"/>
      <c r="Q23" s="107"/>
      <c r="R23" s="107"/>
    </row>
    <row r="24" spans="1:18" ht="12">
      <c r="A24" s="97"/>
      <c r="B24" s="90"/>
      <c r="C24" s="90"/>
      <c r="D24" s="90"/>
      <c r="E24" s="90"/>
      <c r="F24" s="90"/>
      <c r="G24" s="90"/>
      <c r="H24" s="90"/>
      <c r="I24" s="90"/>
      <c r="J24" s="90"/>
      <c r="K24" s="91"/>
      <c r="L24" s="91"/>
      <c r="M24" s="91"/>
      <c r="N24" s="90"/>
      <c r="O24" s="107"/>
      <c r="P24" s="115"/>
      <c r="Q24" s="107"/>
      <c r="R24" s="107"/>
    </row>
    <row r="25" spans="1:18" ht="12">
      <c r="A25" s="97"/>
      <c r="B25" s="90"/>
      <c r="C25" s="90"/>
      <c r="D25" s="90"/>
      <c r="E25" s="90"/>
      <c r="F25" s="90"/>
      <c r="G25" s="90"/>
      <c r="H25" s="90"/>
      <c r="I25" s="90"/>
      <c r="J25" s="90"/>
      <c r="K25" s="91"/>
      <c r="L25" s="91"/>
      <c r="M25" s="91"/>
      <c r="N25" s="90"/>
      <c r="O25" s="107"/>
      <c r="P25" s="107"/>
      <c r="Q25" s="107"/>
      <c r="R25" s="107"/>
    </row>
    <row r="26" spans="1:18" ht="12">
      <c r="A26" s="97"/>
      <c r="B26" s="90"/>
      <c r="C26" s="90"/>
      <c r="D26" s="90"/>
      <c r="E26" s="90"/>
      <c r="F26" s="90"/>
      <c r="G26" s="90"/>
      <c r="H26" s="90"/>
      <c r="I26" s="90"/>
      <c r="J26" s="90"/>
      <c r="K26" s="91"/>
      <c r="L26" s="91"/>
      <c r="M26" s="91"/>
      <c r="N26" s="90"/>
      <c r="O26" s="107"/>
      <c r="P26" s="115"/>
      <c r="Q26" s="107"/>
      <c r="R26" s="107"/>
    </row>
    <row r="27" spans="1:18" ht="12">
      <c r="A27" s="97"/>
      <c r="B27" s="90"/>
      <c r="C27" s="90"/>
      <c r="D27" s="90"/>
      <c r="E27" s="90"/>
      <c r="F27" s="90"/>
      <c r="G27" s="90"/>
      <c r="H27" s="90"/>
      <c r="I27" s="90"/>
      <c r="J27" s="90"/>
      <c r="K27" s="91"/>
      <c r="L27" s="91"/>
      <c r="M27" s="91"/>
      <c r="N27" s="90"/>
      <c r="O27" s="107"/>
      <c r="P27" s="115"/>
      <c r="Q27" s="107"/>
      <c r="R27" s="107"/>
    </row>
    <row r="28" spans="1:18" ht="12">
      <c r="A28" s="97"/>
      <c r="B28" s="90"/>
      <c r="C28" s="90"/>
      <c r="D28" s="90"/>
      <c r="E28" s="90"/>
      <c r="F28" s="90"/>
      <c r="G28" s="90"/>
      <c r="H28" s="90"/>
      <c r="I28" s="90"/>
      <c r="J28" s="90"/>
      <c r="K28" s="91"/>
      <c r="L28" s="91"/>
      <c r="M28" s="91"/>
      <c r="N28" s="90"/>
      <c r="O28" s="107"/>
      <c r="P28" s="115"/>
      <c r="Q28" s="107"/>
      <c r="R28" s="107"/>
    </row>
    <row r="29" spans="1:18" ht="12">
      <c r="A29" s="97"/>
      <c r="B29" s="90"/>
      <c r="C29" s="90"/>
      <c r="D29" s="90"/>
      <c r="E29" s="90"/>
      <c r="F29" s="90"/>
      <c r="G29" s="90"/>
      <c r="H29" s="90"/>
      <c r="I29" s="90"/>
      <c r="J29" s="90"/>
      <c r="K29" s="91"/>
      <c r="L29" s="91"/>
      <c r="M29" s="91"/>
      <c r="N29" s="90"/>
      <c r="O29" s="107"/>
      <c r="P29" s="115"/>
      <c r="Q29" s="107"/>
      <c r="R29" s="107"/>
    </row>
    <row r="30" spans="1:18" ht="12">
      <c r="A30" s="97"/>
      <c r="B30" s="90"/>
      <c r="C30" s="90"/>
      <c r="D30" s="90"/>
      <c r="E30" s="90"/>
      <c r="F30" s="90"/>
      <c r="G30" s="90"/>
      <c r="H30" s="90"/>
      <c r="I30" s="90"/>
      <c r="J30" s="90"/>
      <c r="K30" s="91"/>
      <c r="L30" s="91"/>
      <c r="M30" s="91"/>
      <c r="N30" s="90"/>
      <c r="O30" s="107"/>
      <c r="P30" s="115"/>
      <c r="Q30" s="107"/>
      <c r="R30" s="107"/>
    </row>
    <row r="31" spans="1:18" ht="12">
      <c r="A31" s="97"/>
      <c r="B31" s="90"/>
      <c r="C31" s="90"/>
      <c r="D31" s="90"/>
      <c r="E31" s="90"/>
      <c r="F31" s="90"/>
      <c r="G31" s="90"/>
      <c r="H31" s="90"/>
      <c r="I31" s="90"/>
      <c r="J31" s="90"/>
      <c r="K31" s="91"/>
      <c r="L31" s="91"/>
      <c r="M31" s="91"/>
      <c r="N31" s="90"/>
      <c r="O31" s="107"/>
      <c r="P31" s="115"/>
      <c r="Q31" s="107"/>
      <c r="R31" s="107"/>
    </row>
    <row r="32" spans="11:18" ht="12">
      <c r="K32" s="84"/>
      <c r="L32" s="84"/>
      <c r="M32" s="84"/>
      <c r="O32" s="104"/>
      <c r="P32" s="115"/>
      <c r="Q32" s="104"/>
      <c r="R32" s="104"/>
    </row>
    <row r="33" ht="12">
      <c r="P33" s="115"/>
    </row>
    <row r="34" ht="12">
      <c r="P34" t="s">
        <v>147</v>
      </c>
    </row>
    <row r="35" ht="12">
      <c r="P35" t="s">
        <v>143</v>
      </c>
    </row>
    <row r="36" ht="12">
      <c r="P36" t="s">
        <v>144</v>
      </c>
    </row>
    <row r="37" ht="12">
      <c r="P37" t="s">
        <v>145</v>
      </c>
    </row>
    <row r="38" ht="12">
      <c r="P38" t="s">
        <v>146</v>
      </c>
    </row>
    <row r="39" ht="12">
      <c r="P39" t="s">
        <v>177</v>
      </c>
    </row>
    <row r="40" ht="12">
      <c r="P40" t="s">
        <v>178</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P111"/>
  <sheetViews>
    <sheetView tabSelected="1" zoomScale="200" zoomScaleNormal="200" workbookViewId="0" topLeftCell="A1">
      <selection activeCell="A1" sqref="A1"/>
    </sheetView>
  </sheetViews>
  <sheetFormatPr defaultColWidth="8.8515625" defaultRowHeight="12.75"/>
  <cols>
    <col min="1" max="1" width="4.7109375" style="80" customWidth="1"/>
    <col min="2" max="2" width="3.7109375" style="81" customWidth="1"/>
    <col min="3" max="3" width="30.28125" style="82" customWidth="1"/>
    <col min="4" max="4" width="5.140625" style="80" customWidth="1"/>
    <col min="5" max="5" width="0.71875" style="0" customWidth="1"/>
    <col min="6" max="6" width="5.421875" style="80" bestFit="1" customWidth="1"/>
    <col min="7" max="7" width="3.7109375" style="81" customWidth="1"/>
    <col min="8" max="8" width="30.28125" style="82" customWidth="1"/>
    <col min="9" max="9" width="5.421875" style="80" customWidth="1"/>
    <col min="10" max="11" width="8.8515625" style="0" customWidth="1"/>
    <col min="12" max="12" width="6.421875" style="0" customWidth="1"/>
    <col min="13" max="13" width="8.8515625" style="0" customWidth="1"/>
    <col min="14" max="14" width="9.421875" style="0" customWidth="1"/>
  </cols>
  <sheetData>
    <row r="1" spans="1:9" ht="37.5" customHeight="1" thickBot="1">
      <c r="A1" s="123" t="s">
        <v>133</v>
      </c>
      <c r="B1" s="124" t="s">
        <v>74</v>
      </c>
      <c r="C1" s="125" t="s">
        <v>134</v>
      </c>
      <c r="D1" s="126" t="s">
        <v>135</v>
      </c>
      <c r="F1" s="123" t="s">
        <v>133</v>
      </c>
      <c r="G1" s="124" t="s">
        <v>74</v>
      </c>
      <c r="H1" s="125" t="s">
        <v>134</v>
      </c>
      <c r="I1" s="126" t="s">
        <v>135</v>
      </c>
    </row>
    <row r="2" spans="1:9" ht="12">
      <c r="A2" s="127"/>
      <c r="B2" s="128"/>
      <c r="C2" s="129" t="s">
        <v>193</v>
      </c>
      <c r="D2" s="130"/>
      <c r="F2" s="127">
        <f>A23+D23</f>
        <v>11.9</v>
      </c>
      <c r="G2" s="128" t="s">
        <v>73</v>
      </c>
      <c r="H2" s="139" t="s">
        <v>91</v>
      </c>
      <c r="I2" s="130">
        <v>0.4</v>
      </c>
    </row>
    <row r="3" spans="1:9" ht="12">
      <c r="A3" s="131"/>
      <c r="B3" s="132"/>
      <c r="C3" s="144" t="s">
        <v>184</v>
      </c>
      <c r="D3" s="134"/>
      <c r="F3" s="131">
        <f aca="true" t="shared" si="0" ref="F3:F12">F2+I2</f>
        <v>12.3</v>
      </c>
      <c r="G3" s="132" t="s">
        <v>75</v>
      </c>
      <c r="H3" s="133" t="s">
        <v>92</v>
      </c>
      <c r="I3" s="134">
        <v>0.1</v>
      </c>
    </row>
    <row r="4" spans="1:9" ht="12">
      <c r="A4" s="131">
        <v>0</v>
      </c>
      <c r="B4" s="132" t="s">
        <v>73</v>
      </c>
      <c r="C4" s="133" t="s">
        <v>185</v>
      </c>
      <c r="D4" s="134">
        <v>0</v>
      </c>
      <c r="F4" s="131">
        <f t="shared" si="0"/>
        <v>12.4</v>
      </c>
      <c r="G4" s="132" t="s">
        <v>73</v>
      </c>
      <c r="H4" s="133" t="s">
        <v>93</v>
      </c>
      <c r="I4" s="134">
        <v>0.5</v>
      </c>
    </row>
    <row r="5" spans="1:9" ht="12">
      <c r="A5" s="131">
        <f>A4+D4</f>
        <v>0</v>
      </c>
      <c r="B5" s="132" t="s">
        <v>73</v>
      </c>
      <c r="C5" s="133" t="s">
        <v>160</v>
      </c>
      <c r="D5" s="134">
        <v>0.1</v>
      </c>
      <c r="F5" s="131">
        <f t="shared" si="0"/>
        <v>12.9</v>
      </c>
      <c r="G5" s="132" t="s">
        <v>142</v>
      </c>
      <c r="H5" s="133" t="s">
        <v>94</v>
      </c>
      <c r="I5" s="134">
        <v>0.6</v>
      </c>
    </row>
    <row r="6" spans="1:9" ht="12">
      <c r="A6" s="131">
        <f aca="true" t="shared" si="1" ref="A6:A13">A5+D5</f>
        <v>0.1</v>
      </c>
      <c r="B6" s="132" t="s">
        <v>75</v>
      </c>
      <c r="C6" s="133" t="s">
        <v>161</v>
      </c>
      <c r="D6" s="134">
        <v>1.3</v>
      </c>
      <c r="F6" s="131">
        <f t="shared" si="0"/>
        <v>13.5</v>
      </c>
      <c r="G6" s="132" t="s">
        <v>73</v>
      </c>
      <c r="H6" s="133" t="s">
        <v>95</v>
      </c>
      <c r="I6" s="134">
        <v>5.9</v>
      </c>
    </row>
    <row r="7" spans="1:9" ht="12">
      <c r="A7" s="131">
        <f t="shared" si="1"/>
        <v>1.4000000000000001</v>
      </c>
      <c r="B7" s="132" t="s">
        <v>73</v>
      </c>
      <c r="C7" s="133" t="s">
        <v>162</v>
      </c>
      <c r="D7" s="134">
        <v>0.4</v>
      </c>
      <c r="F7" s="131">
        <f t="shared" si="0"/>
        <v>19.4</v>
      </c>
      <c r="G7" s="132" t="s">
        <v>142</v>
      </c>
      <c r="H7" s="133" t="s">
        <v>150</v>
      </c>
      <c r="I7" s="134">
        <v>0.3</v>
      </c>
    </row>
    <row r="8" spans="1:9" ht="12">
      <c r="A8" s="131">
        <f t="shared" si="1"/>
        <v>1.8000000000000003</v>
      </c>
      <c r="B8" s="132" t="s">
        <v>75</v>
      </c>
      <c r="C8" s="133" t="s">
        <v>163</v>
      </c>
      <c r="D8" s="134">
        <v>0.4</v>
      </c>
      <c r="F8" s="131">
        <f t="shared" si="0"/>
        <v>19.7</v>
      </c>
      <c r="G8" s="132" t="s">
        <v>73</v>
      </c>
      <c r="H8" s="133" t="s">
        <v>96</v>
      </c>
      <c r="I8" s="134">
        <v>0.8</v>
      </c>
    </row>
    <row r="9" spans="1:9" ht="12">
      <c r="A9" s="131">
        <f t="shared" si="1"/>
        <v>2.2</v>
      </c>
      <c r="B9" s="132" t="s">
        <v>73</v>
      </c>
      <c r="C9" s="133" t="s">
        <v>164</v>
      </c>
      <c r="D9" s="134">
        <v>1.9</v>
      </c>
      <c r="F9" s="131">
        <f t="shared" si="0"/>
        <v>20.5</v>
      </c>
      <c r="G9" s="132" t="s">
        <v>75</v>
      </c>
      <c r="H9" s="133" t="s">
        <v>76</v>
      </c>
      <c r="I9" s="134">
        <v>0.4</v>
      </c>
    </row>
    <row r="10" spans="1:9" ht="12">
      <c r="A10" s="131">
        <f t="shared" si="1"/>
        <v>4.1</v>
      </c>
      <c r="B10" s="132" t="s">
        <v>142</v>
      </c>
      <c r="C10" s="133" t="s">
        <v>165</v>
      </c>
      <c r="D10" s="134">
        <v>0.8</v>
      </c>
      <c r="F10" s="131">
        <f t="shared" si="0"/>
        <v>20.9</v>
      </c>
      <c r="G10" s="132" t="s">
        <v>142</v>
      </c>
      <c r="H10" s="133" t="s">
        <v>148</v>
      </c>
      <c r="I10" s="134">
        <v>1.4</v>
      </c>
    </row>
    <row r="11" spans="1:9" ht="12">
      <c r="A11" s="131">
        <f t="shared" si="1"/>
        <v>4.8999999999999995</v>
      </c>
      <c r="B11" s="132" t="s">
        <v>73</v>
      </c>
      <c r="C11" s="133" t="s">
        <v>166</v>
      </c>
      <c r="D11" s="134">
        <v>0.4</v>
      </c>
      <c r="F11" s="131">
        <f t="shared" si="0"/>
        <v>22.299999999999997</v>
      </c>
      <c r="G11" s="132" t="s">
        <v>73</v>
      </c>
      <c r="H11" s="133" t="s">
        <v>151</v>
      </c>
      <c r="I11" s="134">
        <v>2.2</v>
      </c>
    </row>
    <row r="12" spans="1:9" ht="12">
      <c r="A12" s="131">
        <f t="shared" si="1"/>
        <v>5.3</v>
      </c>
      <c r="B12" s="132" t="s">
        <v>73</v>
      </c>
      <c r="C12" s="133" t="s">
        <v>167</v>
      </c>
      <c r="D12" s="134">
        <v>0.1</v>
      </c>
      <c r="F12" s="142">
        <f t="shared" si="0"/>
        <v>24.499999999999996</v>
      </c>
      <c r="G12" s="143" t="s">
        <v>73</v>
      </c>
      <c r="H12" s="144" t="s">
        <v>116</v>
      </c>
      <c r="I12" s="145">
        <v>0</v>
      </c>
    </row>
    <row r="13" spans="1:9" ht="12">
      <c r="A13" s="131">
        <f t="shared" si="1"/>
        <v>5.3999999999999995</v>
      </c>
      <c r="B13" s="132" t="s">
        <v>75</v>
      </c>
      <c r="C13" s="133" t="s">
        <v>168</v>
      </c>
      <c r="D13" s="134">
        <v>0.4</v>
      </c>
      <c r="F13" s="131"/>
      <c r="G13" s="143"/>
      <c r="H13" s="144" t="s">
        <v>186</v>
      </c>
      <c r="I13" s="134"/>
    </row>
    <row r="14" spans="1:9" ht="12">
      <c r="A14" s="131"/>
      <c r="B14" s="132"/>
      <c r="C14" s="133" t="s">
        <v>155</v>
      </c>
      <c r="D14" s="134"/>
      <c r="F14" s="131"/>
      <c r="G14" s="143"/>
      <c r="H14" s="144"/>
      <c r="I14" s="134"/>
    </row>
    <row r="15" spans="1:9" ht="12">
      <c r="A15" s="131">
        <f>A13+D13</f>
        <v>5.8</v>
      </c>
      <c r="B15" s="132" t="s">
        <v>142</v>
      </c>
      <c r="C15" s="133" t="s">
        <v>78</v>
      </c>
      <c r="D15" s="134">
        <v>0.5</v>
      </c>
      <c r="F15" s="131">
        <f>F12+I12</f>
        <v>24.499999999999996</v>
      </c>
      <c r="G15" s="183" t="s">
        <v>75</v>
      </c>
      <c r="H15" s="184" t="s">
        <v>187</v>
      </c>
      <c r="I15" s="134">
        <v>2</v>
      </c>
    </row>
    <row r="16" spans="1:9" ht="12">
      <c r="A16" s="131">
        <f>A15+D15</f>
        <v>6.3</v>
      </c>
      <c r="B16" s="132" t="s">
        <v>75</v>
      </c>
      <c r="C16" s="133" t="s">
        <v>79</v>
      </c>
      <c r="D16" s="134">
        <v>0.3</v>
      </c>
      <c r="F16" s="131">
        <f aca="true" t="shared" si="2" ref="F16:F23">F15+I15</f>
        <v>26.499999999999996</v>
      </c>
      <c r="G16" s="132" t="s">
        <v>75</v>
      </c>
      <c r="H16" s="133" t="s">
        <v>77</v>
      </c>
      <c r="I16" s="134">
        <v>0.3</v>
      </c>
    </row>
    <row r="17" spans="1:9" ht="12">
      <c r="A17" s="131">
        <f aca="true" t="shared" si="3" ref="A17:A23">A16+D16</f>
        <v>6.6</v>
      </c>
      <c r="B17" s="132" t="s">
        <v>73</v>
      </c>
      <c r="C17" s="133" t="s">
        <v>81</v>
      </c>
      <c r="D17" s="134">
        <v>0.7</v>
      </c>
      <c r="F17" s="131">
        <f t="shared" si="2"/>
        <v>26.799999999999997</v>
      </c>
      <c r="G17" s="132" t="s">
        <v>142</v>
      </c>
      <c r="H17" s="133" t="s">
        <v>153</v>
      </c>
      <c r="I17" s="134">
        <v>0.3</v>
      </c>
    </row>
    <row r="18" spans="1:9" ht="12">
      <c r="A18" s="131">
        <f t="shared" si="3"/>
        <v>7.3</v>
      </c>
      <c r="B18" s="132" t="s">
        <v>73</v>
      </c>
      <c r="C18" s="133" t="s">
        <v>83</v>
      </c>
      <c r="D18" s="134">
        <v>0.2</v>
      </c>
      <c r="F18" s="131">
        <f t="shared" si="2"/>
        <v>27.099999999999998</v>
      </c>
      <c r="G18" s="132" t="s">
        <v>75</v>
      </c>
      <c r="H18" s="133" t="s">
        <v>80</v>
      </c>
      <c r="I18" s="134">
        <v>0.1</v>
      </c>
    </row>
    <row r="19" spans="1:9" ht="12">
      <c r="A19" s="131"/>
      <c r="B19" s="132"/>
      <c r="C19" s="133" t="s">
        <v>154</v>
      </c>
      <c r="D19" s="134"/>
      <c r="F19" s="131">
        <f t="shared" si="2"/>
        <v>27.2</v>
      </c>
      <c r="G19" s="132" t="s">
        <v>75</v>
      </c>
      <c r="H19" s="133" t="s">
        <v>82</v>
      </c>
      <c r="I19" s="134">
        <v>0.7</v>
      </c>
    </row>
    <row r="20" spans="1:9" ht="12">
      <c r="A20" s="131">
        <f>A18+D18</f>
        <v>7.5</v>
      </c>
      <c r="B20" s="132" t="s">
        <v>142</v>
      </c>
      <c r="C20" s="133" t="s">
        <v>86</v>
      </c>
      <c r="D20" s="134">
        <v>0.2</v>
      </c>
      <c r="F20" s="131">
        <f t="shared" si="2"/>
        <v>27.9</v>
      </c>
      <c r="G20" s="132" t="s">
        <v>142</v>
      </c>
      <c r="H20" s="133" t="s">
        <v>84</v>
      </c>
      <c r="I20" s="134">
        <v>0.9</v>
      </c>
    </row>
    <row r="21" spans="1:9" ht="12">
      <c r="A21" s="131">
        <f t="shared" si="3"/>
        <v>7.7</v>
      </c>
      <c r="B21" s="132" t="s">
        <v>75</v>
      </c>
      <c r="C21" s="133" t="s">
        <v>88</v>
      </c>
      <c r="D21" s="134">
        <v>1.1</v>
      </c>
      <c r="F21" s="131">
        <f t="shared" si="2"/>
        <v>28.799999999999997</v>
      </c>
      <c r="G21" s="132" t="s">
        <v>75</v>
      </c>
      <c r="H21" s="133" t="s">
        <v>85</v>
      </c>
      <c r="I21" s="134">
        <v>0.1</v>
      </c>
    </row>
    <row r="22" spans="1:9" ht="12">
      <c r="A22" s="131">
        <f t="shared" si="3"/>
        <v>8.8</v>
      </c>
      <c r="B22" s="132" t="s">
        <v>73</v>
      </c>
      <c r="C22" s="133" t="s">
        <v>89</v>
      </c>
      <c r="D22" s="134">
        <v>1.9</v>
      </c>
      <c r="F22" s="131">
        <f t="shared" si="2"/>
        <v>28.9</v>
      </c>
      <c r="G22" s="132" t="s">
        <v>73</v>
      </c>
      <c r="H22" s="133" t="s">
        <v>87</v>
      </c>
      <c r="I22" s="134">
        <v>2.6</v>
      </c>
    </row>
    <row r="23" spans="1:9" ht="13.5" customHeight="1" thickBot="1">
      <c r="A23" s="135">
        <f t="shared" si="3"/>
        <v>10.700000000000001</v>
      </c>
      <c r="B23" s="136" t="s">
        <v>73</v>
      </c>
      <c r="C23" s="137" t="s">
        <v>183</v>
      </c>
      <c r="D23" s="138">
        <v>1.2</v>
      </c>
      <c r="F23" s="135">
        <f t="shared" si="2"/>
        <v>31.5</v>
      </c>
      <c r="G23" s="136" t="s">
        <v>142</v>
      </c>
      <c r="H23" s="137" t="s">
        <v>152</v>
      </c>
      <c r="I23" s="138">
        <v>0.3</v>
      </c>
    </row>
    <row r="24" spans="1:9" ht="6" customHeight="1" thickBot="1">
      <c r="A24" s="178"/>
      <c r="B24" s="179"/>
      <c r="C24" s="180"/>
      <c r="D24" s="181"/>
      <c r="F24" s="79"/>
      <c r="G24" s="77"/>
      <c r="H24" s="78"/>
      <c r="I24" s="79"/>
    </row>
    <row r="25" spans="1:9" ht="39.75" customHeight="1" thickBot="1">
      <c r="A25" s="123" t="s">
        <v>133</v>
      </c>
      <c r="B25" s="124" t="s">
        <v>74</v>
      </c>
      <c r="C25" s="125" t="s">
        <v>134</v>
      </c>
      <c r="D25" s="126" t="s">
        <v>135</v>
      </c>
      <c r="F25" s="123" t="s">
        <v>133</v>
      </c>
      <c r="G25" s="124" t="s">
        <v>74</v>
      </c>
      <c r="H25" s="125" t="s">
        <v>134</v>
      </c>
      <c r="I25" s="126" t="s">
        <v>135</v>
      </c>
    </row>
    <row r="26" spans="1:16" s="76" customFormat="1" ht="12">
      <c r="A26" s="127">
        <f>F23+I23</f>
        <v>31.8</v>
      </c>
      <c r="B26" s="188" t="s">
        <v>73</v>
      </c>
      <c r="C26" s="189" t="s">
        <v>149</v>
      </c>
      <c r="D26" s="130">
        <v>3</v>
      </c>
      <c r="E26"/>
      <c r="F26" s="127"/>
      <c r="G26" s="128"/>
      <c r="H26" s="139"/>
      <c r="I26" s="130"/>
      <c r="L26"/>
      <c r="M26"/>
      <c r="N26"/>
      <c r="O26"/>
      <c r="P26"/>
    </row>
    <row r="27" spans="1:16" s="76" customFormat="1" ht="12">
      <c r="A27" s="131">
        <f>A26+D26</f>
        <v>34.8</v>
      </c>
      <c r="B27" s="132" t="s">
        <v>73</v>
      </c>
      <c r="C27" s="133" t="s">
        <v>90</v>
      </c>
      <c r="D27" s="134">
        <v>1.1</v>
      </c>
      <c r="E27"/>
      <c r="F27" s="131"/>
      <c r="G27" s="132"/>
      <c r="H27" s="133"/>
      <c r="I27" s="134"/>
      <c r="L27"/>
      <c r="M27"/>
      <c r="N27"/>
      <c r="O27"/>
      <c r="P27"/>
    </row>
    <row r="28" spans="1:16" s="76" customFormat="1" ht="12">
      <c r="A28" s="131"/>
      <c r="B28" s="132"/>
      <c r="C28" s="133" t="s">
        <v>152</v>
      </c>
      <c r="D28" s="134"/>
      <c r="E28"/>
      <c r="F28" s="131"/>
      <c r="G28" s="132"/>
      <c r="H28" s="133"/>
      <c r="I28" s="134"/>
      <c r="L28" s="172"/>
      <c r="M28" s="173"/>
      <c r="N28" s="174"/>
      <c r="O28"/>
      <c r="P28"/>
    </row>
    <row r="29" spans="1:16" s="76" customFormat="1" ht="12">
      <c r="A29" s="131">
        <f>A27+D27</f>
        <v>35.9</v>
      </c>
      <c r="B29" s="132" t="s">
        <v>142</v>
      </c>
      <c r="C29" s="133" t="s">
        <v>130</v>
      </c>
      <c r="D29" s="134">
        <v>8.1</v>
      </c>
      <c r="E29"/>
      <c r="F29" s="177"/>
      <c r="G29" s="132"/>
      <c r="H29" s="133"/>
      <c r="I29" s="134"/>
      <c r="L29" s="172"/>
      <c r="M29" s="173"/>
      <c r="N29" s="174"/>
      <c r="O29"/>
      <c r="P29"/>
    </row>
    <row r="30" spans="1:16" s="76" customFormat="1" ht="12">
      <c r="A30" s="131">
        <f aca="true" t="shared" si="4" ref="A30:A36">A29+D29</f>
        <v>44</v>
      </c>
      <c r="B30" s="132" t="s">
        <v>142</v>
      </c>
      <c r="C30" s="133" t="s">
        <v>152</v>
      </c>
      <c r="D30" s="134">
        <v>0.7</v>
      </c>
      <c r="E30"/>
      <c r="F30" s="131"/>
      <c r="G30" s="132"/>
      <c r="H30" s="133"/>
      <c r="I30" s="134"/>
      <c r="L30" s="172"/>
      <c r="M30" s="173"/>
      <c r="N30" s="174"/>
      <c r="O30"/>
      <c r="P30"/>
    </row>
    <row r="31" spans="1:16" s="76" customFormat="1" ht="12">
      <c r="A31" s="131">
        <f t="shared" si="4"/>
        <v>44.7</v>
      </c>
      <c r="B31" s="132" t="s">
        <v>142</v>
      </c>
      <c r="C31" s="133" t="s">
        <v>169</v>
      </c>
      <c r="D31" s="134">
        <v>1</v>
      </c>
      <c r="E31"/>
      <c r="F31" s="131"/>
      <c r="G31" s="132"/>
      <c r="H31" s="133"/>
      <c r="I31" s="134"/>
      <c r="L31" s="172"/>
      <c r="M31" s="173"/>
      <c r="N31" s="174"/>
      <c r="O31"/>
      <c r="P31"/>
    </row>
    <row r="32" spans="1:16" s="76" customFormat="1" ht="12">
      <c r="A32" s="131">
        <f t="shared" si="4"/>
        <v>45.7</v>
      </c>
      <c r="B32" s="132" t="s">
        <v>73</v>
      </c>
      <c r="C32" s="133" t="s">
        <v>170</v>
      </c>
      <c r="D32" s="134">
        <v>1.3</v>
      </c>
      <c r="E32"/>
      <c r="F32" s="131"/>
      <c r="G32" s="132"/>
      <c r="H32" s="133"/>
      <c r="I32" s="134"/>
      <c r="L32" s="170"/>
      <c r="M32" s="171"/>
      <c r="N32" s="175"/>
      <c r="O32"/>
      <c r="P32"/>
    </row>
    <row r="33" spans="1:16" s="76" customFormat="1" ht="12">
      <c r="A33" s="131">
        <f t="shared" si="4"/>
        <v>47</v>
      </c>
      <c r="B33" s="132" t="s">
        <v>75</v>
      </c>
      <c r="C33" s="133" t="s">
        <v>171</v>
      </c>
      <c r="D33" s="134">
        <v>0.9</v>
      </c>
      <c r="E33"/>
      <c r="F33" s="131"/>
      <c r="G33" s="132"/>
      <c r="H33" s="133"/>
      <c r="I33" s="134"/>
      <c r="L33" s="170"/>
      <c r="M33" s="171"/>
      <c r="N33" s="174"/>
      <c r="O33"/>
      <c r="P33"/>
    </row>
    <row r="34" spans="1:16" s="76" customFormat="1" ht="12">
      <c r="A34" s="131">
        <f t="shared" si="4"/>
        <v>47.9</v>
      </c>
      <c r="B34" s="132" t="s">
        <v>73</v>
      </c>
      <c r="C34" s="133" t="s">
        <v>172</v>
      </c>
      <c r="D34" s="134">
        <v>1.6</v>
      </c>
      <c r="E34"/>
      <c r="F34" s="131"/>
      <c r="G34" s="132"/>
      <c r="H34" s="133"/>
      <c r="I34" s="134"/>
      <c r="L34" s="172"/>
      <c r="M34" s="173"/>
      <c r="N34" s="174"/>
      <c r="O34"/>
      <c r="P34"/>
    </row>
    <row r="35" spans="1:16" s="76" customFormat="1" ht="12">
      <c r="A35" s="131">
        <f t="shared" si="4"/>
        <v>49.5</v>
      </c>
      <c r="B35" s="132" t="s">
        <v>75</v>
      </c>
      <c r="C35" s="133" t="s">
        <v>173</v>
      </c>
      <c r="D35" s="134">
        <v>2.3</v>
      </c>
      <c r="E35"/>
      <c r="F35" s="142"/>
      <c r="G35" s="143"/>
      <c r="H35" s="144"/>
      <c r="I35" s="145"/>
      <c r="L35" s="172"/>
      <c r="M35" s="173"/>
      <c r="N35" s="174"/>
      <c r="O35"/>
      <c r="P35"/>
    </row>
    <row r="36" spans="1:16" s="76" customFormat="1" ht="12">
      <c r="A36" s="131">
        <f t="shared" si="4"/>
        <v>51.8</v>
      </c>
      <c r="B36" s="132" t="s">
        <v>73</v>
      </c>
      <c r="C36" s="184" t="s">
        <v>190</v>
      </c>
      <c r="D36" s="134">
        <v>0.1</v>
      </c>
      <c r="E36"/>
      <c r="F36" s="131"/>
      <c r="G36" s="143"/>
      <c r="H36" s="144"/>
      <c r="I36" s="134"/>
      <c r="L36" s="172"/>
      <c r="M36" s="173"/>
      <c r="N36" s="174"/>
      <c r="O36"/>
      <c r="P36"/>
    </row>
    <row r="37" spans="1:16" s="76" customFormat="1" ht="12">
      <c r="A37" s="142">
        <f>A36+D36</f>
        <v>51.9</v>
      </c>
      <c r="B37" s="143" t="s">
        <v>73</v>
      </c>
      <c r="C37" s="144" t="s">
        <v>192</v>
      </c>
      <c r="D37" s="145">
        <v>0</v>
      </c>
      <c r="E37"/>
      <c r="F37" s="131"/>
      <c r="G37" s="132"/>
      <c r="H37" s="133"/>
      <c r="I37" s="134"/>
      <c r="L37" s="172"/>
      <c r="M37" s="173"/>
      <c r="N37" s="174"/>
      <c r="O37"/>
      <c r="P37"/>
    </row>
    <row r="38" spans="1:16" s="76" customFormat="1" ht="12.75" thickBot="1">
      <c r="A38" s="199"/>
      <c r="B38" s="200"/>
      <c r="C38" s="201" t="s">
        <v>184</v>
      </c>
      <c r="D38" s="202"/>
      <c r="E38"/>
      <c r="F38" s="131"/>
      <c r="G38" s="132"/>
      <c r="H38" s="133"/>
      <c r="I38" s="134"/>
      <c r="L38" s="172"/>
      <c r="M38" s="173"/>
      <c r="N38" s="174"/>
      <c r="O38"/>
      <c r="P38"/>
    </row>
    <row r="39" spans="1:15" s="76" customFormat="1" ht="12.75" thickBot="1">
      <c r="A39" s="203"/>
      <c r="B39" s="204"/>
      <c r="C39" s="205" t="s">
        <v>118</v>
      </c>
      <c r="D39" s="206"/>
      <c r="E39"/>
      <c r="F39" s="131"/>
      <c r="G39" s="132"/>
      <c r="H39" s="133"/>
      <c r="I39" s="134"/>
      <c r="L39" s="172"/>
      <c r="M39" s="173"/>
      <c r="N39" s="174"/>
      <c r="O39"/>
    </row>
    <row r="40" spans="1:15" s="76" customFormat="1" ht="12">
      <c r="A40" s="169"/>
      <c r="B40" s="185"/>
      <c r="C40" s="186"/>
      <c r="D40" s="187"/>
      <c r="E40"/>
      <c r="F40" s="131"/>
      <c r="G40" s="132"/>
      <c r="H40" s="133"/>
      <c r="I40" s="134"/>
      <c r="L40" s="172"/>
      <c r="M40" s="173"/>
      <c r="N40" s="174"/>
      <c r="O40"/>
    </row>
    <row r="41" spans="1:15" s="76" customFormat="1" ht="12">
      <c r="A41" s="131"/>
      <c r="B41" s="132"/>
      <c r="C41" s="133"/>
      <c r="D41" s="134"/>
      <c r="E41"/>
      <c r="F41" s="131"/>
      <c r="G41" s="132"/>
      <c r="H41" s="133"/>
      <c r="I41" s="134"/>
      <c r="L41" s="172"/>
      <c r="M41" s="173"/>
      <c r="N41" s="174"/>
      <c r="O41"/>
    </row>
    <row r="42" spans="1:15" s="76" customFormat="1" ht="12">
      <c r="A42" s="131"/>
      <c r="B42" s="132"/>
      <c r="C42" s="133"/>
      <c r="D42" s="134"/>
      <c r="E42"/>
      <c r="F42" s="131"/>
      <c r="G42" s="132"/>
      <c r="H42" s="133"/>
      <c r="I42" s="134"/>
      <c r="L42" s="172"/>
      <c r="M42" s="173"/>
      <c r="N42" s="174"/>
      <c r="O42"/>
    </row>
    <row r="43" spans="1:15" s="76" customFormat="1" ht="12">
      <c r="A43" s="131"/>
      <c r="B43" s="132"/>
      <c r="C43" s="133"/>
      <c r="D43" s="134"/>
      <c r="E43"/>
      <c r="F43" s="131"/>
      <c r="G43" s="132"/>
      <c r="H43" s="133"/>
      <c r="I43" s="134"/>
      <c r="L43" s="172"/>
      <c r="M43" s="173"/>
      <c r="N43" s="174"/>
      <c r="O43"/>
    </row>
    <row r="44" spans="1:15" s="76" customFormat="1" ht="12">
      <c r="A44" s="131"/>
      <c r="B44" s="132"/>
      <c r="C44" s="133"/>
      <c r="D44" s="134"/>
      <c r="E44"/>
      <c r="F44" s="131"/>
      <c r="G44" s="132"/>
      <c r="H44" s="133"/>
      <c r="I44" s="134"/>
      <c r="L44" s="172"/>
      <c r="M44" s="173"/>
      <c r="N44" s="174"/>
      <c r="O44"/>
    </row>
    <row r="45" spans="1:15" s="76" customFormat="1" ht="12">
      <c r="A45" s="131"/>
      <c r="B45" s="132"/>
      <c r="C45" s="133"/>
      <c r="D45" s="134"/>
      <c r="E45"/>
      <c r="F45" s="131"/>
      <c r="G45" s="140"/>
      <c r="H45" s="141"/>
      <c r="I45" s="134"/>
      <c r="L45"/>
      <c r="M45"/>
      <c r="N45"/>
      <c r="O45"/>
    </row>
    <row r="46" spans="1:15" s="76" customFormat="1" ht="12">
      <c r="A46" s="131"/>
      <c r="B46" s="132"/>
      <c r="C46" s="133"/>
      <c r="D46" s="134"/>
      <c r="E46"/>
      <c r="F46" s="197"/>
      <c r="G46" s="141"/>
      <c r="H46" s="141"/>
      <c r="I46" s="198"/>
      <c r="L46"/>
      <c r="M46"/>
      <c r="N46"/>
      <c r="O46"/>
    </row>
    <row r="47" spans="1:15" s="76" customFormat="1" ht="12">
      <c r="A47" s="131"/>
      <c r="B47" s="132"/>
      <c r="C47" s="133"/>
      <c r="D47" s="134"/>
      <c r="E47"/>
      <c r="F47" s="142"/>
      <c r="G47" s="143"/>
      <c r="H47" s="144"/>
      <c r="I47" s="134"/>
      <c r="L47"/>
      <c r="M47" s="171"/>
      <c r="N47"/>
      <c r="O47"/>
    </row>
    <row r="48" spans="1:13" s="76" customFormat="1" ht="12">
      <c r="A48" s="131"/>
      <c r="B48" s="132"/>
      <c r="C48" s="133"/>
      <c r="D48" s="134"/>
      <c r="E48"/>
      <c r="F48" s="142"/>
      <c r="G48" s="143"/>
      <c r="H48" s="144"/>
      <c r="I48" s="134"/>
      <c r="M48" s="176"/>
    </row>
    <row r="49" spans="1:9" s="76" customFormat="1" ht="12.75" thickBot="1">
      <c r="A49" s="135"/>
      <c r="B49" s="136"/>
      <c r="C49" s="137"/>
      <c r="D49" s="138"/>
      <c r="E49"/>
      <c r="F49" s="135"/>
      <c r="G49" s="136"/>
      <c r="H49" s="168"/>
      <c r="I49" s="138"/>
    </row>
    <row r="50" spans="12:14" ht="12">
      <c r="L50" s="172"/>
      <c r="M50" s="173"/>
      <c r="N50" s="174"/>
    </row>
    <row r="51" spans="12:14" ht="12">
      <c r="L51" s="172"/>
      <c r="M51" s="173"/>
      <c r="N51" s="174"/>
    </row>
    <row r="52" spans="12:14" ht="12">
      <c r="L52" s="172"/>
      <c r="M52" s="173"/>
      <c r="N52" s="174"/>
    </row>
    <row r="53" spans="12:14" ht="12">
      <c r="L53" s="172"/>
      <c r="M53" s="173"/>
      <c r="N53" s="174"/>
    </row>
    <row r="54" spans="12:14" ht="12">
      <c r="L54" s="172"/>
      <c r="M54" s="173"/>
      <c r="N54" s="174"/>
    </row>
    <row r="55" spans="12:14" ht="12">
      <c r="L55" s="172"/>
      <c r="M55" s="173"/>
      <c r="N55" s="174"/>
    </row>
    <row r="56" spans="1:9" ht="12">
      <c r="A56"/>
      <c r="B56"/>
      <c r="C56"/>
      <c r="D56"/>
      <c r="F56"/>
      <c r="G56"/>
      <c r="H56"/>
      <c r="I56"/>
    </row>
    <row r="57" spans="1:9" ht="12">
      <c r="A57"/>
      <c r="B57"/>
      <c r="C57"/>
      <c r="D57"/>
      <c r="F57"/>
      <c r="G57"/>
      <c r="H57"/>
      <c r="I57"/>
    </row>
    <row r="58" spans="1:9" ht="12">
      <c r="A58"/>
      <c r="B58"/>
      <c r="C58"/>
      <c r="D58"/>
      <c r="F58"/>
      <c r="G58"/>
      <c r="H58"/>
      <c r="I58"/>
    </row>
    <row r="59" spans="1:9" ht="12">
      <c r="A59"/>
      <c r="B59"/>
      <c r="C59"/>
      <c r="D59"/>
      <c r="F59"/>
      <c r="G59"/>
      <c r="H59"/>
      <c r="I59"/>
    </row>
    <row r="60" spans="1:9" ht="12">
      <c r="A60"/>
      <c r="B60"/>
      <c r="C60"/>
      <c r="D60"/>
      <c r="F60"/>
      <c r="G60"/>
      <c r="H60"/>
      <c r="I60"/>
    </row>
    <row r="61" spans="1:9" ht="12">
      <c r="A61"/>
      <c r="B61"/>
      <c r="C61"/>
      <c r="D61"/>
      <c r="F61"/>
      <c r="G61"/>
      <c r="H61"/>
      <c r="I61"/>
    </row>
    <row r="62" spans="1:9" ht="12">
      <c r="A62"/>
      <c r="B62"/>
      <c r="C62"/>
      <c r="D62"/>
      <c r="F62"/>
      <c r="G62"/>
      <c r="H62"/>
      <c r="I62"/>
    </row>
    <row r="63" spans="1:9" ht="12">
      <c r="A63"/>
      <c r="B63"/>
      <c r="C63"/>
      <c r="D63"/>
      <c r="F63"/>
      <c r="G63"/>
      <c r="H63"/>
      <c r="I63"/>
    </row>
    <row r="64" spans="1:9" ht="12">
      <c r="A64"/>
      <c r="B64"/>
      <c r="C64"/>
      <c r="D64"/>
      <c r="F64"/>
      <c r="G64"/>
      <c r="H64"/>
      <c r="I64"/>
    </row>
    <row r="65" spans="1:9" ht="12">
      <c r="A65"/>
      <c r="B65"/>
      <c r="C65"/>
      <c r="D65"/>
      <c r="F65"/>
      <c r="G65"/>
      <c r="H65"/>
      <c r="I65"/>
    </row>
    <row r="66" spans="1:9" ht="12">
      <c r="A66"/>
      <c r="B66"/>
      <c r="C66"/>
      <c r="D66"/>
      <c r="F66"/>
      <c r="G66"/>
      <c r="H66"/>
      <c r="I66"/>
    </row>
    <row r="67" spans="1:9" ht="12">
      <c r="A67"/>
      <c r="B67"/>
      <c r="C67"/>
      <c r="D67"/>
      <c r="F67"/>
      <c r="G67"/>
      <c r="H67"/>
      <c r="I67"/>
    </row>
    <row r="68" spans="1:9" ht="12">
      <c r="A68"/>
      <c r="B68"/>
      <c r="C68"/>
      <c r="D68"/>
      <c r="F68"/>
      <c r="G68"/>
      <c r="H68"/>
      <c r="I68"/>
    </row>
    <row r="69" spans="1:9" ht="12">
      <c r="A69"/>
      <c r="B69"/>
      <c r="C69"/>
      <c r="D69"/>
      <c r="F69"/>
      <c r="G69"/>
      <c r="H69"/>
      <c r="I69"/>
    </row>
    <row r="70" spans="1:9" ht="12">
      <c r="A70"/>
      <c r="B70"/>
      <c r="C70"/>
      <c r="D70"/>
      <c r="F70"/>
      <c r="G70"/>
      <c r="H70"/>
      <c r="I70"/>
    </row>
    <row r="71" spans="1:9" ht="12">
      <c r="A71"/>
      <c r="B71"/>
      <c r="C71"/>
      <c r="D71"/>
      <c r="F71"/>
      <c r="G71"/>
      <c r="H71"/>
      <c r="I71"/>
    </row>
    <row r="72" spans="1:9" ht="12">
      <c r="A72"/>
      <c r="B72"/>
      <c r="C72"/>
      <c r="D72"/>
      <c r="F72"/>
      <c r="G72"/>
      <c r="H72"/>
      <c r="I72"/>
    </row>
    <row r="73" spans="1:9" ht="12">
      <c r="A73"/>
      <c r="B73"/>
      <c r="C73"/>
      <c r="D73"/>
      <c r="F73"/>
      <c r="G73"/>
      <c r="H73"/>
      <c r="I73"/>
    </row>
    <row r="74" spans="1:9" ht="12">
      <c r="A74"/>
      <c r="B74"/>
      <c r="C74"/>
      <c r="D74"/>
      <c r="F74"/>
      <c r="G74"/>
      <c r="H74"/>
      <c r="I74"/>
    </row>
    <row r="75" spans="1:9" ht="12">
      <c r="A75"/>
      <c r="B75"/>
      <c r="C75"/>
      <c r="D75"/>
      <c r="F75"/>
      <c r="G75"/>
      <c r="H75"/>
      <c r="I75"/>
    </row>
    <row r="76" spans="1:9" ht="12">
      <c r="A76"/>
      <c r="B76"/>
      <c r="C76"/>
      <c r="D76"/>
      <c r="F76"/>
      <c r="G76"/>
      <c r="H76"/>
      <c r="I76"/>
    </row>
    <row r="77" spans="1:9" ht="12">
      <c r="A77"/>
      <c r="B77"/>
      <c r="C77"/>
      <c r="D77"/>
      <c r="F77"/>
      <c r="G77"/>
      <c r="H77"/>
      <c r="I77"/>
    </row>
    <row r="78" spans="1:9" ht="12">
      <c r="A78"/>
      <c r="B78"/>
      <c r="C78"/>
      <c r="D78"/>
      <c r="F78"/>
      <c r="G78"/>
      <c r="H78"/>
      <c r="I78"/>
    </row>
    <row r="79" spans="1:9" ht="12">
      <c r="A79"/>
      <c r="B79"/>
      <c r="C79"/>
      <c r="D79"/>
      <c r="F79"/>
      <c r="G79"/>
      <c r="H79"/>
      <c r="I79"/>
    </row>
    <row r="80" spans="1:9" ht="12">
      <c r="A80"/>
      <c r="B80"/>
      <c r="C80"/>
      <c r="D80"/>
      <c r="F80"/>
      <c r="G80"/>
      <c r="H80"/>
      <c r="I80"/>
    </row>
    <row r="81" spans="1:9" ht="12">
      <c r="A81"/>
      <c r="B81"/>
      <c r="C81"/>
      <c r="D81"/>
      <c r="F81"/>
      <c r="G81"/>
      <c r="H81"/>
      <c r="I81"/>
    </row>
    <row r="82" spans="1:9" ht="12">
      <c r="A82"/>
      <c r="B82"/>
      <c r="C82"/>
      <c r="D82"/>
      <c r="F82"/>
      <c r="G82"/>
      <c r="H82"/>
      <c r="I82"/>
    </row>
    <row r="83" spans="1:9" ht="12">
      <c r="A83"/>
      <c r="B83"/>
      <c r="C83"/>
      <c r="D83"/>
      <c r="F83"/>
      <c r="G83"/>
      <c r="H83"/>
      <c r="I83"/>
    </row>
    <row r="84" spans="1:9" ht="12">
      <c r="A84"/>
      <c r="B84"/>
      <c r="C84"/>
      <c r="D84"/>
      <c r="F84"/>
      <c r="G84"/>
      <c r="H84"/>
      <c r="I84"/>
    </row>
    <row r="85" spans="1:9" ht="12">
      <c r="A85"/>
      <c r="B85"/>
      <c r="C85"/>
      <c r="D85"/>
      <c r="F85"/>
      <c r="G85"/>
      <c r="H85"/>
      <c r="I85"/>
    </row>
    <row r="86" spans="1:9" ht="12">
      <c r="A86"/>
      <c r="B86"/>
      <c r="C86"/>
      <c r="D86"/>
      <c r="F86"/>
      <c r="G86"/>
      <c r="H86"/>
      <c r="I86"/>
    </row>
    <row r="87" spans="1:9" ht="12">
      <c r="A87"/>
      <c r="B87"/>
      <c r="C87"/>
      <c r="D87"/>
      <c r="F87"/>
      <c r="G87"/>
      <c r="H87"/>
      <c r="I87"/>
    </row>
    <row r="88" spans="1:9" ht="12">
      <c r="A88"/>
      <c r="B88"/>
      <c r="C88"/>
      <c r="D88"/>
      <c r="F88"/>
      <c r="G88"/>
      <c r="H88"/>
      <c r="I88"/>
    </row>
    <row r="89" spans="1:9" ht="12">
      <c r="A89"/>
      <c r="B89"/>
      <c r="C89"/>
      <c r="D89"/>
      <c r="F89"/>
      <c r="G89"/>
      <c r="H89"/>
      <c r="I89"/>
    </row>
    <row r="90" spans="1:9" ht="12">
      <c r="A90"/>
      <c r="B90"/>
      <c r="C90"/>
      <c r="D90"/>
      <c r="F90"/>
      <c r="G90"/>
      <c r="H90"/>
      <c r="I90"/>
    </row>
    <row r="91" spans="1:9" ht="12">
      <c r="A91"/>
      <c r="B91"/>
      <c r="C91"/>
      <c r="D91"/>
      <c r="F91"/>
      <c r="G91"/>
      <c r="H91"/>
      <c r="I91"/>
    </row>
    <row r="92" spans="1:9" ht="12">
      <c r="A92"/>
      <c r="B92"/>
      <c r="C92"/>
      <c r="D92"/>
      <c r="F92"/>
      <c r="G92"/>
      <c r="H92"/>
      <c r="I92"/>
    </row>
    <row r="93" spans="1:9" ht="12">
      <c r="A93"/>
      <c r="B93"/>
      <c r="C93"/>
      <c r="D93"/>
      <c r="F93"/>
      <c r="G93"/>
      <c r="H93"/>
      <c r="I93"/>
    </row>
    <row r="94" spans="1:9" ht="12">
      <c r="A94"/>
      <c r="B94"/>
      <c r="C94"/>
      <c r="D94"/>
      <c r="F94"/>
      <c r="G94"/>
      <c r="H94"/>
      <c r="I94"/>
    </row>
    <row r="95" spans="1:9" ht="12">
      <c r="A95"/>
      <c r="B95"/>
      <c r="C95"/>
      <c r="D95"/>
      <c r="F95"/>
      <c r="G95"/>
      <c r="H95"/>
      <c r="I95"/>
    </row>
    <row r="96" spans="1:9" ht="12">
      <c r="A96"/>
      <c r="B96"/>
      <c r="C96"/>
      <c r="D96"/>
      <c r="F96"/>
      <c r="G96"/>
      <c r="H96"/>
      <c r="I96"/>
    </row>
    <row r="97" spans="1:9" ht="12">
      <c r="A97"/>
      <c r="B97"/>
      <c r="C97"/>
      <c r="D97"/>
      <c r="F97"/>
      <c r="G97"/>
      <c r="H97"/>
      <c r="I97"/>
    </row>
    <row r="98" spans="1:9" ht="12">
      <c r="A98"/>
      <c r="B98"/>
      <c r="C98"/>
      <c r="D98"/>
      <c r="F98"/>
      <c r="G98"/>
      <c r="H98"/>
      <c r="I98"/>
    </row>
    <row r="99" spans="1:9" ht="12">
      <c r="A99"/>
      <c r="B99"/>
      <c r="C99"/>
      <c r="D99"/>
      <c r="F99"/>
      <c r="G99"/>
      <c r="H99"/>
      <c r="I99"/>
    </row>
    <row r="100" spans="1:9" ht="12">
      <c r="A100"/>
      <c r="B100"/>
      <c r="C100"/>
      <c r="D100"/>
      <c r="F100"/>
      <c r="G100"/>
      <c r="H100"/>
      <c r="I100"/>
    </row>
    <row r="101" spans="1:9" ht="12">
      <c r="A101"/>
      <c r="B101"/>
      <c r="C101"/>
      <c r="D101"/>
      <c r="F101"/>
      <c r="G101"/>
      <c r="H101"/>
      <c r="I101"/>
    </row>
    <row r="102" spans="1:9" ht="12">
      <c r="A102"/>
      <c r="B102"/>
      <c r="C102"/>
      <c r="D102"/>
      <c r="F102"/>
      <c r="G102"/>
      <c r="H102"/>
      <c r="I102"/>
    </row>
    <row r="103" spans="1:9" ht="12">
      <c r="A103"/>
      <c r="B103"/>
      <c r="C103"/>
      <c r="D103"/>
      <c r="F103"/>
      <c r="G103"/>
      <c r="H103"/>
      <c r="I103"/>
    </row>
    <row r="104" spans="1:9" ht="12">
      <c r="A104"/>
      <c r="B104"/>
      <c r="C104"/>
      <c r="D104"/>
      <c r="F104"/>
      <c r="G104"/>
      <c r="H104"/>
      <c r="I104"/>
    </row>
    <row r="105" spans="1:9" ht="12">
      <c r="A105"/>
      <c r="B105"/>
      <c r="C105"/>
      <c r="D105"/>
      <c r="F105"/>
      <c r="G105"/>
      <c r="H105"/>
      <c r="I105"/>
    </row>
    <row r="106" spans="1:9" ht="12">
      <c r="A106"/>
      <c r="B106"/>
      <c r="C106"/>
      <c r="D106"/>
      <c r="F106"/>
      <c r="G106"/>
      <c r="H106"/>
      <c r="I106"/>
    </row>
    <row r="107" spans="1:9" ht="12">
      <c r="A107"/>
      <c r="B107"/>
      <c r="C107"/>
      <c r="D107"/>
      <c r="F107"/>
      <c r="G107"/>
      <c r="H107"/>
      <c r="I107"/>
    </row>
    <row r="108" spans="1:9" ht="12">
      <c r="A108"/>
      <c r="B108"/>
      <c r="C108"/>
      <c r="D108"/>
      <c r="F108"/>
      <c r="G108"/>
      <c r="H108"/>
      <c r="I108"/>
    </row>
    <row r="109" spans="1:9" ht="12">
      <c r="A109"/>
      <c r="B109"/>
      <c r="C109"/>
      <c r="D109"/>
      <c r="F109"/>
      <c r="G109"/>
      <c r="H109"/>
      <c r="I109"/>
    </row>
    <row r="110" spans="1:9" ht="12">
      <c r="A110"/>
      <c r="B110"/>
      <c r="C110"/>
      <c r="D110"/>
      <c r="F110"/>
      <c r="G110"/>
      <c r="H110"/>
      <c r="I110"/>
    </row>
    <row r="111" spans="1:9" ht="12">
      <c r="A111"/>
      <c r="B111"/>
      <c r="C111"/>
      <c r="D111"/>
      <c r="F111"/>
      <c r="G111"/>
      <c r="H111"/>
      <c r="I111"/>
    </row>
  </sheetData>
  <sheetProtection/>
  <printOptions horizontalCentered="1"/>
  <pageMargins left="0.4330708661417323" right="0.5511811023622047" top="0.53125" bottom="0.5905511811023623" header="0.2362204724409449" footer="0.5511811023622047"/>
  <pageSetup horizontalDpi="600" verticalDpi="600" orientation="portrait"/>
  <headerFooter alignWithMargins="0">
    <oddHeader>&amp;L&amp;8&amp;A&amp;C&amp;"Arial,Bold"NANAIMO POPULAIRE&amp;R&amp;8Page &amp;P of &amp;N</oddHeader>
    <oddFooter>&amp;L&amp;8L = Left
SO = Straight On
R = Right&amp;CBC Randonneurs Cycling Club
&amp;8Affiliated with &amp;"Arial,Italic"Cycling BC&amp;"Arial,Regular"
Founding member of&amp;"Arial,Italic" Les Randonneurs Mondiaux&amp;R
</oddFooter>
  </headerFooter>
</worksheet>
</file>

<file path=xl/worksheets/sheet5.xml><?xml version="1.0" encoding="utf-8"?>
<worksheet xmlns="http://schemas.openxmlformats.org/spreadsheetml/2006/main" xmlns:r="http://schemas.openxmlformats.org/officeDocument/2006/relationships">
  <dimension ref="A1:E104"/>
  <sheetViews>
    <sheetView workbookViewId="0" topLeftCell="A1">
      <selection activeCell="A79" sqref="A79"/>
    </sheetView>
  </sheetViews>
  <sheetFormatPr defaultColWidth="8.8515625" defaultRowHeight="12.75"/>
  <cols>
    <col min="1" max="1" width="5.421875" style="0" bestFit="1" customWidth="1"/>
    <col min="2" max="2" width="3.7109375" style="0" bestFit="1" customWidth="1"/>
    <col min="3" max="3" width="30.8515625" style="0" customWidth="1"/>
    <col min="4" max="4" width="5.421875" style="0" customWidth="1"/>
    <col min="5" max="5" width="16.8515625" style="0" bestFit="1" customWidth="1"/>
  </cols>
  <sheetData>
    <row r="1" spans="1:4" ht="37.5" thickBot="1">
      <c r="A1" s="123" t="s">
        <v>133</v>
      </c>
      <c r="B1" s="124" t="s">
        <v>74</v>
      </c>
      <c r="C1" s="125" t="s">
        <v>134</v>
      </c>
      <c r="D1" s="126" t="s">
        <v>135</v>
      </c>
    </row>
    <row r="2" spans="1:5" ht="12">
      <c r="A2" s="127"/>
      <c r="B2" s="128"/>
      <c r="C2" s="129" t="s">
        <v>193</v>
      </c>
      <c r="D2" s="130"/>
      <c r="E2" s="2" t="s">
        <v>139</v>
      </c>
    </row>
    <row r="3" spans="1:5" ht="12">
      <c r="A3" s="131"/>
      <c r="B3" s="132"/>
      <c r="C3" s="144" t="s">
        <v>184</v>
      </c>
      <c r="D3" s="134"/>
      <c r="E3" s="2" t="s">
        <v>140</v>
      </c>
    </row>
    <row r="4" spans="1:5" ht="12">
      <c r="A4" s="131"/>
      <c r="B4" s="132"/>
      <c r="C4" s="133"/>
      <c r="D4" s="134"/>
      <c r="E4" s="2" t="s">
        <v>141</v>
      </c>
    </row>
    <row r="5" spans="1:5" ht="12">
      <c r="A5" s="131">
        <v>0</v>
      </c>
      <c r="B5" s="132" t="s">
        <v>73</v>
      </c>
      <c r="C5" s="133" t="s">
        <v>185</v>
      </c>
      <c r="D5" s="134">
        <v>0</v>
      </c>
      <c r="E5" s="2"/>
    </row>
    <row r="6" spans="1:5" ht="12">
      <c r="A6" s="131">
        <f>A5+D5</f>
        <v>0</v>
      </c>
      <c r="B6" s="132" t="s">
        <v>73</v>
      </c>
      <c r="C6" s="133" t="s">
        <v>160</v>
      </c>
      <c r="D6" s="134">
        <v>0.1</v>
      </c>
      <c r="E6" s="2" t="s">
        <v>136</v>
      </c>
    </row>
    <row r="7" spans="1:5" ht="12">
      <c r="A7" s="131">
        <f aca="true" t="shared" si="0" ref="A7:A14">A6+D6</f>
        <v>0.1</v>
      </c>
      <c r="B7" s="132" t="s">
        <v>75</v>
      </c>
      <c r="C7" s="133" t="s">
        <v>161</v>
      </c>
      <c r="D7" s="134">
        <v>1.3</v>
      </c>
      <c r="E7" s="2" t="s">
        <v>137</v>
      </c>
    </row>
    <row r="8" spans="1:5" ht="12">
      <c r="A8" s="131">
        <f t="shared" si="0"/>
        <v>1.4000000000000001</v>
      </c>
      <c r="B8" s="132" t="s">
        <v>73</v>
      </c>
      <c r="C8" s="133" t="s">
        <v>162</v>
      </c>
      <c r="D8" s="134">
        <v>0.4</v>
      </c>
      <c r="E8" s="2"/>
    </row>
    <row r="9" spans="1:4" ht="12">
      <c r="A9" s="131">
        <f t="shared" si="0"/>
        <v>1.8000000000000003</v>
      </c>
      <c r="B9" s="132" t="s">
        <v>75</v>
      </c>
      <c r="C9" s="133" t="s">
        <v>163</v>
      </c>
      <c r="D9" s="134">
        <v>0.4</v>
      </c>
    </row>
    <row r="10" spans="1:4" ht="12">
      <c r="A10" s="131">
        <f t="shared" si="0"/>
        <v>2.2</v>
      </c>
      <c r="B10" s="132" t="s">
        <v>73</v>
      </c>
      <c r="C10" s="133" t="s">
        <v>164</v>
      </c>
      <c r="D10" s="134">
        <v>1.9</v>
      </c>
    </row>
    <row r="11" spans="1:5" ht="12">
      <c r="A11" s="131">
        <f t="shared" si="0"/>
        <v>4.1</v>
      </c>
      <c r="B11" s="132" t="s">
        <v>142</v>
      </c>
      <c r="C11" s="133" t="s">
        <v>165</v>
      </c>
      <c r="D11" s="134">
        <v>0.8</v>
      </c>
      <c r="E11" s="2"/>
    </row>
    <row r="12" spans="1:5" ht="12">
      <c r="A12" s="131">
        <f t="shared" si="0"/>
        <v>4.8999999999999995</v>
      </c>
      <c r="B12" s="132" t="s">
        <v>73</v>
      </c>
      <c r="C12" s="133" t="s">
        <v>166</v>
      </c>
      <c r="D12" s="134">
        <v>0.4</v>
      </c>
      <c r="E12" s="2"/>
    </row>
    <row r="13" spans="1:5" ht="12">
      <c r="A13" s="131">
        <f t="shared" si="0"/>
        <v>5.3</v>
      </c>
      <c r="B13" s="132" t="s">
        <v>73</v>
      </c>
      <c r="C13" s="133" t="s">
        <v>167</v>
      </c>
      <c r="D13" s="134">
        <v>0.1</v>
      </c>
      <c r="E13" s="2"/>
    </row>
    <row r="14" spans="1:5" ht="12">
      <c r="A14" s="131">
        <f t="shared" si="0"/>
        <v>5.3999999999999995</v>
      </c>
      <c r="B14" s="132" t="s">
        <v>75</v>
      </c>
      <c r="C14" s="133" t="s">
        <v>168</v>
      </c>
      <c r="D14" s="134">
        <v>0.4</v>
      </c>
      <c r="E14" s="2"/>
    </row>
    <row r="15" spans="1:5" ht="12">
      <c r="A15" s="131"/>
      <c r="B15" s="132"/>
      <c r="C15" s="133" t="s">
        <v>155</v>
      </c>
      <c r="D15" s="134"/>
      <c r="E15" s="2"/>
    </row>
    <row r="16" spans="1:5" ht="12">
      <c r="A16" s="131">
        <f>A14+D14</f>
        <v>5.8</v>
      </c>
      <c r="B16" s="132" t="s">
        <v>142</v>
      </c>
      <c r="C16" s="133" t="s">
        <v>78</v>
      </c>
      <c r="D16" s="134">
        <v>0.5</v>
      </c>
      <c r="E16" s="2"/>
    </row>
    <row r="17" spans="1:5" ht="12">
      <c r="A17" s="131">
        <f>A16+D16</f>
        <v>6.3</v>
      </c>
      <c r="B17" s="132" t="s">
        <v>75</v>
      </c>
      <c r="C17" s="133" t="s">
        <v>79</v>
      </c>
      <c r="D17" s="134">
        <v>0.3</v>
      </c>
      <c r="E17" s="2"/>
    </row>
    <row r="18" spans="1:5" ht="12">
      <c r="A18" s="131">
        <f aca="true" t="shared" si="1" ref="A18:A24">A17+D17</f>
        <v>6.6</v>
      </c>
      <c r="B18" s="132" t="s">
        <v>73</v>
      </c>
      <c r="C18" s="133" t="s">
        <v>81</v>
      </c>
      <c r="D18" s="134">
        <v>0.7</v>
      </c>
      <c r="E18" s="2"/>
    </row>
    <row r="19" spans="1:5" ht="12">
      <c r="A19" s="131">
        <f t="shared" si="1"/>
        <v>7.3</v>
      </c>
      <c r="B19" s="132" t="s">
        <v>73</v>
      </c>
      <c r="C19" s="133" t="s">
        <v>83</v>
      </c>
      <c r="D19" s="134">
        <v>0.2</v>
      </c>
      <c r="E19" s="2"/>
    </row>
    <row r="20" spans="1:5" ht="12">
      <c r="A20" s="131"/>
      <c r="B20" s="132"/>
      <c r="C20" s="133" t="s">
        <v>154</v>
      </c>
      <c r="D20" s="134"/>
      <c r="E20" s="2"/>
    </row>
    <row r="21" spans="1:5" ht="12">
      <c r="A21" s="131">
        <f>A19+D19</f>
        <v>7.5</v>
      </c>
      <c r="B21" s="132" t="s">
        <v>142</v>
      </c>
      <c r="C21" s="133" t="s">
        <v>86</v>
      </c>
      <c r="D21" s="134">
        <v>0.2</v>
      </c>
      <c r="E21" s="2"/>
    </row>
    <row r="22" spans="1:4" ht="12">
      <c r="A22" s="131">
        <f t="shared" si="1"/>
        <v>7.7</v>
      </c>
      <c r="B22" s="132" t="s">
        <v>75</v>
      </c>
      <c r="C22" s="133" t="s">
        <v>88</v>
      </c>
      <c r="D22" s="134">
        <v>1.1</v>
      </c>
    </row>
    <row r="23" spans="1:4" ht="12">
      <c r="A23" s="131">
        <f t="shared" si="1"/>
        <v>8.8</v>
      </c>
      <c r="B23" s="132" t="s">
        <v>73</v>
      </c>
      <c r="C23" s="133" t="s">
        <v>89</v>
      </c>
      <c r="D23" s="134">
        <v>1.9</v>
      </c>
    </row>
    <row r="24" spans="1:4" ht="12.75" thickBot="1">
      <c r="A24" s="135">
        <f t="shared" si="1"/>
        <v>10.700000000000001</v>
      </c>
      <c r="B24" s="136" t="s">
        <v>73</v>
      </c>
      <c r="C24" s="137" t="s">
        <v>183</v>
      </c>
      <c r="D24" s="138">
        <v>1.2</v>
      </c>
    </row>
    <row r="25" spans="1:4" ht="37.5" thickBot="1">
      <c r="A25" s="123" t="s">
        <v>133</v>
      </c>
      <c r="B25" s="124" t="s">
        <v>74</v>
      </c>
      <c r="C25" s="125" t="s">
        <v>134</v>
      </c>
      <c r="D25" s="126" t="s">
        <v>135</v>
      </c>
    </row>
    <row r="26" spans="1:4" ht="12">
      <c r="A26" s="127">
        <f>A24+D24</f>
        <v>11.9</v>
      </c>
      <c r="B26" s="128" t="s">
        <v>73</v>
      </c>
      <c r="C26" s="139" t="s">
        <v>91</v>
      </c>
      <c r="D26" s="130">
        <v>0.4</v>
      </c>
    </row>
    <row r="27" spans="1:4" ht="12">
      <c r="A27" s="131">
        <f aca="true" t="shared" si="2" ref="A27:A35">A26+D26</f>
        <v>12.3</v>
      </c>
      <c r="B27" s="132" t="s">
        <v>75</v>
      </c>
      <c r="C27" s="133" t="s">
        <v>92</v>
      </c>
      <c r="D27" s="134">
        <v>0.1</v>
      </c>
    </row>
    <row r="28" spans="1:4" ht="12">
      <c r="A28" s="131">
        <f t="shared" si="2"/>
        <v>12.4</v>
      </c>
      <c r="B28" s="132" t="s">
        <v>73</v>
      </c>
      <c r="C28" s="133" t="s">
        <v>93</v>
      </c>
      <c r="D28" s="134">
        <v>0.5</v>
      </c>
    </row>
    <row r="29" spans="1:4" ht="12">
      <c r="A29" s="131">
        <f t="shared" si="2"/>
        <v>12.9</v>
      </c>
      <c r="B29" s="132" t="s">
        <v>142</v>
      </c>
      <c r="C29" s="133" t="s">
        <v>94</v>
      </c>
      <c r="D29" s="134">
        <v>0.6</v>
      </c>
    </row>
    <row r="30" spans="1:4" ht="12">
      <c r="A30" s="131">
        <f t="shared" si="2"/>
        <v>13.5</v>
      </c>
      <c r="B30" s="132" t="s">
        <v>73</v>
      </c>
      <c r="C30" s="133" t="s">
        <v>95</v>
      </c>
      <c r="D30" s="134">
        <v>5.9</v>
      </c>
    </row>
    <row r="31" spans="1:4" ht="12">
      <c r="A31" s="131">
        <f t="shared" si="2"/>
        <v>19.4</v>
      </c>
      <c r="B31" s="132" t="s">
        <v>142</v>
      </c>
      <c r="C31" s="133" t="s">
        <v>150</v>
      </c>
      <c r="D31" s="134">
        <v>0.3</v>
      </c>
    </row>
    <row r="32" spans="1:4" ht="12">
      <c r="A32" s="131">
        <f t="shared" si="2"/>
        <v>19.7</v>
      </c>
      <c r="B32" s="132" t="s">
        <v>73</v>
      </c>
      <c r="C32" s="133" t="s">
        <v>96</v>
      </c>
      <c r="D32" s="134">
        <v>0.8</v>
      </c>
    </row>
    <row r="33" spans="1:4" ht="12">
      <c r="A33" s="131">
        <f t="shared" si="2"/>
        <v>20.5</v>
      </c>
      <c r="B33" s="132" t="s">
        <v>75</v>
      </c>
      <c r="C33" s="133" t="s">
        <v>76</v>
      </c>
      <c r="D33" s="134">
        <v>0.4</v>
      </c>
    </row>
    <row r="34" spans="1:4" ht="12">
      <c r="A34" s="131">
        <f t="shared" si="2"/>
        <v>20.9</v>
      </c>
      <c r="B34" s="132" t="s">
        <v>142</v>
      </c>
      <c r="C34" s="133" t="s">
        <v>148</v>
      </c>
      <c r="D34" s="134">
        <v>1.4</v>
      </c>
    </row>
    <row r="35" spans="1:4" ht="12">
      <c r="A35" s="131">
        <f t="shared" si="2"/>
        <v>22.299999999999997</v>
      </c>
      <c r="B35" s="132" t="s">
        <v>73</v>
      </c>
      <c r="C35" s="133" t="s">
        <v>151</v>
      </c>
      <c r="D35" s="134">
        <v>2.2</v>
      </c>
    </row>
    <row r="36" spans="1:5" ht="12">
      <c r="A36" s="131"/>
      <c r="B36" s="132"/>
      <c r="C36" s="133"/>
      <c r="D36" s="134"/>
      <c r="E36" s="2" t="s">
        <v>138</v>
      </c>
    </row>
    <row r="37" spans="1:4" ht="12">
      <c r="A37" s="142">
        <f>A35+D35</f>
        <v>24.499999999999996</v>
      </c>
      <c r="B37" s="143" t="s">
        <v>73</v>
      </c>
      <c r="C37" s="144" t="s">
        <v>116</v>
      </c>
      <c r="D37" s="145">
        <v>0</v>
      </c>
    </row>
    <row r="38" spans="1:4" ht="12">
      <c r="A38" s="131"/>
      <c r="B38" s="143"/>
      <c r="C38" s="144" t="s">
        <v>186</v>
      </c>
      <c r="D38" s="134"/>
    </row>
    <row r="39" spans="1:4" ht="12">
      <c r="A39" s="131"/>
      <c r="B39" s="143"/>
      <c r="C39" s="144"/>
      <c r="D39" s="134"/>
    </row>
    <row r="40" spans="1:4" ht="12">
      <c r="A40" s="131">
        <f>A37+D37</f>
        <v>24.499999999999996</v>
      </c>
      <c r="B40" s="183" t="s">
        <v>75</v>
      </c>
      <c r="C40" s="184" t="s">
        <v>187</v>
      </c>
      <c r="D40" s="134">
        <v>2</v>
      </c>
    </row>
    <row r="41" spans="1:4" ht="12">
      <c r="A41" s="131">
        <f aca="true" t="shared" si="3" ref="A41:A48">A40+D40</f>
        <v>26.499999999999996</v>
      </c>
      <c r="B41" s="132" t="s">
        <v>75</v>
      </c>
      <c r="C41" s="133" t="s">
        <v>77</v>
      </c>
      <c r="D41" s="134">
        <v>0.3</v>
      </c>
    </row>
    <row r="42" spans="1:4" ht="12">
      <c r="A42" s="131">
        <f t="shared" si="3"/>
        <v>26.799999999999997</v>
      </c>
      <c r="B42" s="132" t="s">
        <v>142</v>
      </c>
      <c r="C42" s="133" t="s">
        <v>153</v>
      </c>
      <c r="D42" s="134">
        <v>0.3</v>
      </c>
    </row>
    <row r="43" spans="1:4" ht="12">
      <c r="A43" s="131">
        <f t="shared" si="3"/>
        <v>27.099999999999998</v>
      </c>
      <c r="B43" s="132" t="s">
        <v>75</v>
      </c>
      <c r="C43" s="133" t="s">
        <v>80</v>
      </c>
      <c r="D43" s="134">
        <v>0.1</v>
      </c>
    </row>
    <row r="44" spans="1:4" ht="12">
      <c r="A44" s="131">
        <f t="shared" si="3"/>
        <v>27.2</v>
      </c>
      <c r="B44" s="132" t="s">
        <v>75</v>
      </c>
      <c r="C44" s="133" t="s">
        <v>82</v>
      </c>
      <c r="D44" s="134">
        <v>0.7</v>
      </c>
    </row>
    <row r="45" spans="1:4" ht="12">
      <c r="A45" s="131">
        <f t="shared" si="3"/>
        <v>27.9</v>
      </c>
      <c r="B45" s="132" t="s">
        <v>142</v>
      </c>
      <c r="C45" s="133" t="s">
        <v>84</v>
      </c>
      <c r="D45" s="134">
        <v>0.9</v>
      </c>
    </row>
    <row r="46" spans="1:4" ht="12">
      <c r="A46" s="131">
        <f t="shared" si="3"/>
        <v>28.799999999999997</v>
      </c>
      <c r="B46" s="132" t="s">
        <v>75</v>
      </c>
      <c r="C46" s="133" t="s">
        <v>85</v>
      </c>
      <c r="D46" s="134">
        <v>0.1</v>
      </c>
    </row>
    <row r="47" spans="1:4" ht="12">
      <c r="A47" s="131">
        <f t="shared" si="3"/>
        <v>28.9</v>
      </c>
      <c r="B47" s="132" t="s">
        <v>73</v>
      </c>
      <c r="C47" s="133" t="s">
        <v>87</v>
      </c>
      <c r="D47" s="134">
        <v>2.6</v>
      </c>
    </row>
    <row r="48" spans="1:4" ht="12.75" thickBot="1">
      <c r="A48" s="135">
        <f t="shared" si="3"/>
        <v>31.5</v>
      </c>
      <c r="B48" s="136" t="s">
        <v>142</v>
      </c>
      <c r="C48" s="137" t="s">
        <v>152</v>
      </c>
      <c r="D48" s="138">
        <v>0.3</v>
      </c>
    </row>
    <row r="49" spans="1:4" ht="37.5" thickBot="1">
      <c r="A49" s="123" t="s">
        <v>133</v>
      </c>
      <c r="B49" s="124" t="s">
        <v>74</v>
      </c>
      <c r="C49" s="125" t="s">
        <v>134</v>
      </c>
      <c r="D49" s="126" t="s">
        <v>135</v>
      </c>
    </row>
    <row r="50" spans="1:4" ht="12">
      <c r="A50" s="127">
        <f>A48+D48</f>
        <v>31.8</v>
      </c>
      <c r="B50" s="188" t="s">
        <v>73</v>
      </c>
      <c r="C50" s="189" t="s">
        <v>149</v>
      </c>
      <c r="D50" s="130">
        <v>3</v>
      </c>
    </row>
    <row r="51" spans="1:4" ht="12">
      <c r="A51" s="131">
        <f>A50+D50</f>
        <v>34.8</v>
      </c>
      <c r="B51" s="132" t="s">
        <v>73</v>
      </c>
      <c r="C51" s="133" t="s">
        <v>90</v>
      </c>
      <c r="D51" s="134">
        <v>1.1</v>
      </c>
    </row>
    <row r="52" spans="1:4" ht="12">
      <c r="A52" s="169"/>
      <c r="B52" s="185"/>
      <c r="C52" s="186" t="s">
        <v>152</v>
      </c>
      <c r="D52" s="187"/>
    </row>
    <row r="53" spans="1:4" ht="12">
      <c r="A53" s="169">
        <f>A51+D51</f>
        <v>35.9</v>
      </c>
      <c r="B53" s="132" t="s">
        <v>142</v>
      </c>
      <c r="C53" s="133" t="s">
        <v>130</v>
      </c>
      <c r="D53" s="134">
        <v>8.1</v>
      </c>
    </row>
    <row r="54" spans="1:5" ht="12">
      <c r="A54" s="169">
        <f aca="true" t="shared" si="4" ref="A54:A60">A53+D53</f>
        <v>44</v>
      </c>
      <c r="B54" s="132" t="s">
        <v>142</v>
      </c>
      <c r="C54" s="133" t="s">
        <v>152</v>
      </c>
      <c r="D54" s="134">
        <v>0.7</v>
      </c>
      <c r="E54" s="2" t="s">
        <v>138</v>
      </c>
    </row>
    <row r="55" spans="1:4" ht="12">
      <c r="A55" s="169">
        <f t="shared" si="4"/>
        <v>44.7</v>
      </c>
      <c r="B55" s="132" t="s">
        <v>142</v>
      </c>
      <c r="C55" s="133" t="s">
        <v>169</v>
      </c>
      <c r="D55" s="134">
        <v>1</v>
      </c>
    </row>
    <row r="56" spans="1:4" ht="12">
      <c r="A56" s="169">
        <f t="shared" si="4"/>
        <v>45.7</v>
      </c>
      <c r="B56" s="132" t="s">
        <v>73</v>
      </c>
      <c r="C56" s="133" t="s">
        <v>170</v>
      </c>
      <c r="D56" s="134">
        <v>1.3</v>
      </c>
    </row>
    <row r="57" spans="1:4" ht="12">
      <c r="A57" s="169">
        <f t="shared" si="4"/>
        <v>47</v>
      </c>
      <c r="B57" s="132" t="s">
        <v>75</v>
      </c>
      <c r="C57" s="133" t="s">
        <v>171</v>
      </c>
      <c r="D57" s="134">
        <v>0.9</v>
      </c>
    </row>
    <row r="58" spans="1:4" ht="12">
      <c r="A58" s="169">
        <f t="shared" si="4"/>
        <v>47.9</v>
      </c>
      <c r="B58" s="132" t="s">
        <v>73</v>
      </c>
      <c r="C58" s="133" t="s">
        <v>172</v>
      </c>
      <c r="D58" s="134">
        <v>1.6</v>
      </c>
    </row>
    <row r="59" spans="1:4" ht="12">
      <c r="A59" s="169">
        <f t="shared" si="4"/>
        <v>49.5</v>
      </c>
      <c r="B59" s="132" t="s">
        <v>75</v>
      </c>
      <c r="C59" s="133" t="s">
        <v>173</v>
      </c>
      <c r="D59" s="134">
        <v>2.3</v>
      </c>
    </row>
    <row r="60" spans="1:4" ht="12">
      <c r="A60" s="169">
        <f t="shared" si="4"/>
        <v>51.8</v>
      </c>
      <c r="B60" s="132" t="s">
        <v>73</v>
      </c>
      <c r="C60" s="184" t="s">
        <v>190</v>
      </c>
      <c r="D60" s="134">
        <v>0.1</v>
      </c>
    </row>
    <row r="61" spans="1:4" ht="12">
      <c r="A61" s="169"/>
      <c r="B61" s="132"/>
      <c r="C61" s="133"/>
      <c r="D61" s="134"/>
    </row>
    <row r="62" spans="1:4" ht="12">
      <c r="A62" s="142">
        <f>A60+D60</f>
        <v>51.9</v>
      </c>
      <c r="B62" s="143" t="s">
        <v>73</v>
      </c>
      <c r="C62" s="144" t="s">
        <v>188</v>
      </c>
      <c r="D62" s="145">
        <v>0</v>
      </c>
    </row>
    <row r="63" spans="1:4" ht="12">
      <c r="A63" s="131"/>
      <c r="B63" s="143"/>
      <c r="C63" s="144" t="s">
        <v>191</v>
      </c>
      <c r="D63" s="134"/>
    </row>
    <row r="64" spans="1:4" ht="12">
      <c r="A64" s="191"/>
      <c r="B64" s="76"/>
      <c r="C64" s="76"/>
      <c r="D64" s="192"/>
    </row>
    <row r="65" spans="1:4" ht="12">
      <c r="A65" s="177">
        <f>A62+D62</f>
        <v>51.9</v>
      </c>
      <c r="B65" s="183" t="s">
        <v>73</v>
      </c>
      <c r="C65" s="184" t="s">
        <v>161</v>
      </c>
      <c r="D65" s="134">
        <v>0.1</v>
      </c>
    </row>
    <row r="66" spans="1:4" ht="12">
      <c r="A66" s="169">
        <f aca="true" t="shared" si="5" ref="A66:A76">A65+D65</f>
        <v>52</v>
      </c>
      <c r="B66" s="132" t="s">
        <v>73</v>
      </c>
      <c r="C66" s="133" t="s">
        <v>174</v>
      </c>
      <c r="D66" s="134">
        <v>0.3</v>
      </c>
    </row>
    <row r="67" spans="1:4" ht="12">
      <c r="A67" s="169">
        <f t="shared" si="5"/>
        <v>52.3</v>
      </c>
      <c r="B67" s="132" t="s">
        <v>73</v>
      </c>
      <c r="C67" s="133" t="s">
        <v>182</v>
      </c>
      <c r="D67" s="134">
        <v>0.6</v>
      </c>
    </row>
    <row r="68" spans="1:4" ht="12">
      <c r="A68" s="169">
        <f t="shared" si="5"/>
        <v>52.9</v>
      </c>
      <c r="B68" s="132" t="s">
        <v>73</v>
      </c>
      <c r="C68" s="133" t="s">
        <v>100</v>
      </c>
      <c r="D68" s="134">
        <v>3.2</v>
      </c>
    </row>
    <row r="69" spans="1:4" ht="12">
      <c r="A69" s="169">
        <f t="shared" si="5"/>
        <v>56.1</v>
      </c>
      <c r="B69" s="132" t="s">
        <v>73</v>
      </c>
      <c r="C69" s="133" t="s">
        <v>102</v>
      </c>
      <c r="D69" s="134">
        <v>1.9</v>
      </c>
    </row>
    <row r="70" spans="1:5" ht="12">
      <c r="A70" s="169">
        <f t="shared" si="5"/>
        <v>58</v>
      </c>
      <c r="B70" s="132" t="s">
        <v>75</v>
      </c>
      <c r="C70" s="133" t="s">
        <v>104</v>
      </c>
      <c r="D70" s="134">
        <v>0.5</v>
      </c>
      <c r="E70" s="2" t="s">
        <v>138</v>
      </c>
    </row>
    <row r="71" spans="1:4" ht="12">
      <c r="A71" s="169">
        <f t="shared" si="5"/>
        <v>58.5</v>
      </c>
      <c r="B71" s="132" t="s">
        <v>75</v>
      </c>
      <c r="C71" s="133" t="s">
        <v>181</v>
      </c>
      <c r="D71" s="134">
        <v>2.2</v>
      </c>
    </row>
    <row r="72" spans="1:4" ht="12">
      <c r="A72" s="169">
        <f t="shared" si="5"/>
        <v>60.7</v>
      </c>
      <c r="B72" s="132" t="s">
        <v>73</v>
      </c>
      <c r="C72" s="133" t="s">
        <v>105</v>
      </c>
      <c r="D72" s="134">
        <v>1</v>
      </c>
    </row>
    <row r="73" spans="1:4" ht="12">
      <c r="A73" s="169">
        <f t="shared" si="5"/>
        <v>61.7</v>
      </c>
      <c r="B73" s="132" t="s">
        <v>75</v>
      </c>
      <c r="C73" s="133" t="s">
        <v>158</v>
      </c>
      <c r="D73" s="134">
        <v>4.2</v>
      </c>
    </row>
    <row r="74" spans="1:5" ht="12">
      <c r="A74" s="169">
        <f t="shared" si="5"/>
        <v>65.9</v>
      </c>
      <c r="B74" s="132" t="s">
        <v>73</v>
      </c>
      <c r="C74" s="133" t="s">
        <v>106</v>
      </c>
      <c r="D74" s="134">
        <v>0.3</v>
      </c>
      <c r="E74" s="2" t="s">
        <v>138</v>
      </c>
    </row>
    <row r="75" spans="1:4" ht="12">
      <c r="A75" s="169">
        <f t="shared" si="5"/>
        <v>66.2</v>
      </c>
      <c r="B75" s="132" t="s">
        <v>73</v>
      </c>
      <c r="C75" s="133" t="s">
        <v>97</v>
      </c>
      <c r="D75" s="134">
        <v>2</v>
      </c>
    </row>
    <row r="76" spans="1:4" ht="12.75" thickBot="1">
      <c r="A76" s="190">
        <f t="shared" si="5"/>
        <v>68.2</v>
      </c>
      <c r="B76" s="136" t="s">
        <v>73</v>
      </c>
      <c r="C76" s="137" t="s">
        <v>180</v>
      </c>
      <c r="D76" s="138">
        <v>0.4</v>
      </c>
    </row>
    <row r="77" spans="1:4" ht="37.5" thickBot="1">
      <c r="A77" s="123" t="s">
        <v>133</v>
      </c>
      <c r="B77" s="124" t="s">
        <v>74</v>
      </c>
      <c r="C77" s="125" t="s">
        <v>134</v>
      </c>
      <c r="D77" s="126" t="s">
        <v>135</v>
      </c>
    </row>
    <row r="78" spans="1:4" ht="12">
      <c r="A78" s="127">
        <f>A76+D76</f>
        <v>68.60000000000001</v>
      </c>
      <c r="B78" s="128" t="s">
        <v>75</v>
      </c>
      <c r="C78" s="139" t="s">
        <v>110</v>
      </c>
      <c r="D78" s="130">
        <v>1.6</v>
      </c>
    </row>
    <row r="79" spans="1:4" ht="12">
      <c r="A79" s="131">
        <f aca="true" t="shared" si="6" ref="A79:A85">A78+D78</f>
        <v>70.2</v>
      </c>
      <c r="B79" s="132" t="s">
        <v>73</v>
      </c>
      <c r="C79" s="133" t="s">
        <v>111</v>
      </c>
      <c r="D79" s="134">
        <v>0.1</v>
      </c>
    </row>
    <row r="80" spans="1:4" ht="12">
      <c r="A80" s="182">
        <f t="shared" si="6"/>
        <v>70.3</v>
      </c>
      <c r="B80" s="185" t="s">
        <v>75</v>
      </c>
      <c r="C80" s="186" t="s">
        <v>112</v>
      </c>
      <c r="D80" s="187">
        <v>2.1</v>
      </c>
    </row>
    <row r="81" spans="1:4" ht="12">
      <c r="A81" s="169">
        <f t="shared" si="6"/>
        <v>72.39999999999999</v>
      </c>
      <c r="B81" s="185" t="s">
        <v>75</v>
      </c>
      <c r="C81" s="186" t="s">
        <v>113</v>
      </c>
      <c r="D81" s="187">
        <v>1.2</v>
      </c>
    </row>
    <row r="82" spans="1:4" ht="12">
      <c r="A82" s="169">
        <f t="shared" si="6"/>
        <v>73.6</v>
      </c>
      <c r="B82" s="132" t="s">
        <v>75</v>
      </c>
      <c r="C82" s="133" t="s">
        <v>114</v>
      </c>
      <c r="D82" s="134">
        <v>1.1</v>
      </c>
    </row>
    <row r="83" spans="1:4" ht="12">
      <c r="A83" s="169">
        <f t="shared" si="6"/>
        <v>74.69999999999999</v>
      </c>
      <c r="B83" s="132" t="s">
        <v>73</v>
      </c>
      <c r="C83" s="133" t="s">
        <v>115</v>
      </c>
      <c r="D83" s="134">
        <v>0.1</v>
      </c>
    </row>
    <row r="84" spans="1:4" ht="12">
      <c r="A84" s="169">
        <f t="shared" si="6"/>
        <v>74.79999999999998</v>
      </c>
      <c r="B84" s="132" t="s">
        <v>142</v>
      </c>
      <c r="C84" s="133" t="s">
        <v>156</v>
      </c>
      <c r="D84" s="134">
        <v>2.7</v>
      </c>
    </row>
    <row r="85" spans="1:4" ht="12">
      <c r="A85" s="169">
        <f t="shared" si="6"/>
        <v>77.49999999999999</v>
      </c>
      <c r="B85" s="132" t="s">
        <v>73</v>
      </c>
      <c r="C85" s="133" t="s">
        <v>179</v>
      </c>
      <c r="D85" s="134"/>
    </row>
    <row r="86" spans="1:4" ht="12">
      <c r="A86" s="191"/>
      <c r="B86" s="76"/>
      <c r="C86" s="76"/>
      <c r="D86" s="192"/>
    </row>
    <row r="87" spans="1:4" ht="12">
      <c r="A87" s="142">
        <f>A85+D85</f>
        <v>77.49999999999999</v>
      </c>
      <c r="B87" s="143" t="s">
        <v>73</v>
      </c>
      <c r="C87" s="144" t="s">
        <v>189</v>
      </c>
      <c r="D87" s="145">
        <v>0</v>
      </c>
    </row>
    <row r="88" spans="1:4" ht="12">
      <c r="A88" s="131"/>
      <c r="B88" s="143"/>
      <c r="C88" s="144" t="s">
        <v>117</v>
      </c>
      <c r="D88" s="134"/>
    </row>
    <row r="89" spans="1:4" ht="12">
      <c r="A89" s="191"/>
      <c r="B89" s="76"/>
      <c r="C89" s="76"/>
      <c r="D89" s="192"/>
    </row>
    <row r="90" spans="1:5" ht="12">
      <c r="A90" s="131">
        <f>A87+D87</f>
        <v>77.49999999999999</v>
      </c>
      <c r="B90" s="132" t="s">
        <v>73</v>
      </c>
      <c r="C90" s="133" t="s">
        <v>98</v>
      </c>
      <c r="D90" s="134">
        <v>15.8</v>
      </c>
      <c r="E90" s="2" t="s">
        <v>138</v>
      </c>
    </row>
    <row r="91" spans="1:4" ht="12">
      <c r="A91" s="131">
        <f>A90+D90</f>
        <v>93.29999999999998</v>
      </c>
      <c r="B91" s="132" t="s">
        <v>73</v>
      </c>
      <c r="C91" s="133" t="s">
        <v>99</v>
      </c>
      <c r="D91" s="134">
        <v>0.1</v>
      </c>
    </row>
    <row r="92" spans="1:4" ht="12">
      <c r="A92" s="131">
        <f aca="true" t="shared" si="7" ref="A92:A99">A91+D91</f>
        <v>93.39999999999998</v>
      </c>
      <c r="B92" s="132" t="s">
        <v>73</v>
      </c>
      <c r="C92" s="133" t="s">
        <v>101</v>
      </c>
      <c r="D92" s="134">
        <v>1.9</v>
      </c>
    </row>
    <row r="93" spans="1:4" ht="12">
      <c r="A93" s="131">
        <f t="shared" si="7"/>
        <v>95.29999999999998</v>
      </c>
      <c r="B93" s="132" t="s">
        <v>75</v>
      </c>
      <c r="C93" s="133" t="s">
        <v>103</v>
      </c>
      <c r="D93" s="134">
        <v>0.9</v>
      </c>
    </row>
    <row r="94" spans="1:4" ht="12">
      <c r="A94" s="131">
        <f t="shared" si="7"/>
        <v>96.19999999999999</v>
      </c>
      <c r="B94" s="132" t="s">
        <v>73</v>
      </c>
      <c r="C94" s="133" t="s">
        <v>107</v>
      </c>
      <c r="D94" s="134">
        <v>0.2</v>
      </c>
    </row>
    <row r="95" spans="1:4" ht="12">
      <c r="A95" s="131">
        <f t="shared" si="7"/>
        <v>96.39999999999999</v>
      </c>
      <c r="B95" s="132" t="s">
        <v>75</v>
      </c>
      <c r="C95" s="133" t="s">
        <v>108</v>
      </c>
      <c r="D95" s="134">
        <v>1.1</v>
      </c>
    </row>
    <row r="96" spans="1:4" ht="12">
      <c r="A96" s="131">
        <f t="shared" si="7"/>
        <v>97.49999999999999</v>
      </c>
      <c r="B96" s="132" t="s">
        <v>142</v>
      </c>
      <c r="C96" s="133" t="s">
        <v>109</v>
      </c>
      <c r="D96" s="134">
        <v>2.9</v>
      </c>
    </row>
    <row r="97" spans="1:4" ht="12">
      <c r="A97" s="131">
        <f t="shared" si="7"/>
        <v>100.39999999999999</v>
      </c>
      <c r="B97" s="132" t="s">
        <v>73</v>
      </c>
      <c r="C97" s="133" t="s">
        <v>157</v>
      </c>
      <c r="D97" s="134">
        <v>0.9</v>
      </c>
    </row>
    <row r="98" spans="1:4" ht="12">
      <c r="A98" s="131">
        <f t="shared" si="7"/>
        <v>101.3</v>
      </c>
      <c r="B98" s="140" t="s">
        <v>75</v>
      </c>
      <c r="C98" s="141" t="s">
        <v>175</v>
      </c>
      <c r="D98" s="134">
        <v>0.2</v>
      </c>
    </row>
    <row r="99" spans="1:4" ht="12">
      <c r="A99" s="131">
        <f t="shared" si="7"/>
        <v>101.5</v>
      </c>
      <c r="B99" s="140" t="s">
        <v>75</v>
      </c>
      <c r="C99" s="141" t="s">
        <v>175</v>
      </c>
      <c r="D99" s="134">
        <v>0.2</v>
      </c>
    </row>
    <row r="100" spans="1:4" ht="12">
      <c r="A100" s="131">
        <f>A99+D99</f>
        <v>101.7</v>
      </c>
      <c r="B100" s="140" t="s">
        <v>75</v>
      </c>
      <c r="C100" s="141" t="s">
        <v>175</v>
      </c>
      <c r="D100" s="134">
        <v>0.2</v>
      </c>
    </row>
    <row r="101" spans="1:4" ht="12">
      <c r="A101" s="191"/>
      <c r="B101" s="76"/>
      <c r="C101" s="194"/>
      <c r="D101" s="192"/>
    </row>
    <row r="102" spans="1:4" ht="12">
      <c r="A102" s="142">
        <f>A99+D99</f>
        <v>101.7</v>
      </c>
      <c r="B102" s="143" t="s">
        <v>73</v>
      </c>
      <c r="C102" s="193" t="s">
        <v>192</v>
      </c>
      <c r="D102" s="134"/>
    </row>
    <row r="103" spans="1:4" ht="12">
      <c r="A103" s="142"/>
      <c r="B103" s="143"/>
      <c r="C103" s="144" t="s">
        <v>184</v>
      </c>
      <c r="D103" s="134"/>
    </row>
    <row r="104" spans="1:4" ht="12.75" thickBot="1">
      <c r="A104" s="135"/>
      <c r="B104" s="136"/>
      <c r="C104" s="168" t="s">
        <v>118</v>
      </c>
      <c r="D104" s="138"/>
    </row>
  </sheetData>
  <sheetProtection/>
  <printOptions/>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18"/>
  <sheetViews>
    <sheetView workbookViewId="0" topLeftCell="A1">
      <selection activeCell="B5" sqref="B5"/>
    </sheetView>
  </sheetViews>
  <sheetFormatPr defaultColWidth="8.8515625" defaultRowHeight="12.75"/>
  <cols>
    <col min="1" max="1" width="12.421875" style="0" customWidth="1"/>
    <col min="2" max="2" width="8.8515625" style="0" customWidth="1"/>
    <col min="3" max="3" width="0.85546875" style="0" customWidth="1"/>
    <col min="4" max="9" width="8.8515625" style="0" customWidth="1"/>
    <col min="10" max="10" width="0.9921875" style="0" customWidth="1"/>
  </cols>
  <sheetData>
    <row r="2" spans="1:11" ht="18">
      <c r="A2" s="116" t="s">
        <v>131</v>
      </c>
      <c r="B2" s="116"/>
      <c r="C2" s="116"/>
      <c r="D2" s="116"/>
      <c r="H2" s="116" t="s">
        <v>132</v>
      </c>
      <c r="I2" s="116"/>
      <c r="J2" s="116"/>
      <c r="K2" s="116"/>
    </row>
    <row r="3" spans="1:11" ht="15.75" thickBot="1">
      <c r="A3" s="110"/>
      <c r="B3" s="110"/>
      <c r="C3" s="110"/>
      <c r="D3" s="98"/>
      <c r="H3" s="110"/>
      <c r="I3" s="110"/>
      <c r="J3" s="110"/>
      <c r="K3" s="98"/>
    </row>
    <row r="4" spans="1:11" ht="15.75" thickBot="1">
      <c r="A4" s="111" t="s">
        <v>119</v>
      </c>
      <c r="B4" s="112"/>
      <c r="C4" s="113"/>
      <c r="D4" s="114" t="s">
        <v>120</v>
      </c>
      <c r="H4" s="117" t="s">
        <v>119</v>
      </c>
      <c r="I4" s="118"/>
      <c r="J4" s="119"/>
      <c r="K4" s="120" t="s">
        <v>120</v>
      </c>
    </row>
    <row r="5" spans="1:11" ht="12">
      <c r="A5" s="48" t="e">
        <f>#REF!</f>
        <v>#REF!</v>
      </c>
      <c r="B5" s="102" t="e">
        <f>#REF!</f>
        <v>#REF!</v>
      </c>
      <c r="C5" s="102"/>
      <c r="D5" s="108" t="e">
        <f>#REF!</f>
        <v>#REF!</v>
      </c>
      <c r="H5" s="48" t="e">
        <f>#REF!</f>
        <v>#REF!</v>
      </c>
      <c r="I5" s="102" t="e">
        <f>#REF!</f>
        <v>#REF!</v>
      </c>
      <c r="J5" s="102"/>
      <c r="K5" s="108" t="e">
        <f>#REF!</f>
        <v>#REF!</v>
      </c>
    </row>
    <row r="6" spans="1:11" ht="12">
      <c r="A6" s="48" t="e">
        <f>#REF!</f>
        <v>#REF!</v>
      </c>
      <c r="B6" s="102" t="e">
        <f>#REF!</f>
        <v>#REF!</v>
      </c>
      <c r="C6" s="102"/>
      <c r="D6" s="108" t="e">
        <f>#REF!</f>
        <v>#REF!</v>
      </c>
      <c r="H6" s="48" t="e">
        <f>#REF!</f>
        <v>#REF!</v>
      </c>
      <c r="I6" s="102" t="e">
        <f>#REF!</f>
        <v>#REF!</v>
      </c>
      <c r="J6" s="102"/>
      <c r="K6" s="108" t="e">
        <f>#REF!</f>
        <v>#REF!</v>
      </c>
    </row>
    <row r="7" spans="1:11" ht="12">
      <c r="A7" s="48" t="e">
        <f>#REF!</f>
        <v>#REF!</v>
      </c>
      <c r="B7" s="102" t="e">
        <f>#REF!</f>
        <v>#REF!</v>
      </c>
      <c r="C7" s="102"/>
      <c r="D7" s="108" t="e">
        <f>#REF!</f>
        <v>#REF!</v>
      </c>
      <c r="H7" s="48" t="e">
        <f>#REF!</f>
        <v>#REF!</v>
      </c>
      <c r="I7" s="102" t="e">
        <f>#REF!</f>
        <v>#REF!</v>
      </c>
      <c r="J7" s="102"/>
      <c r="K7" s="108" t="e">
        <f>#REF!</f>
        <v>#REF!</v>
      </c>
    </row>
    <row r="8" spans="1:11" ht="12">
      <c r="A8" s="48" t="e">
        <f>#REF!</f>
        <v>#REF!</v>
      </c>
      <c r="B8" s="102" t="e">
        <f>#REF!</f>
        <v>#REF!</v>
      </c>
      <c r="C8" s="102"/>
      <c r="D8" s="108" t="e">
        <f>#REF!</f>
        <v>#REF!</v>
      </c>
      <c r="H8" s="48" t="e">
        <f>#REF!</f>
        <v>#REF!</v>
      </c>
      <c r="I8" s="102" t="e">
        <f>#REF!</f>
        <v>#REF!</v>
      </c>
      <c r="J8" s="102"/>
      <c r="K8" s="108" t="e">
        <f>#REF!</f>
        <v>#REF!</v>
      </c>
    </row>
    <row r="9" spans="1:11" ht="12">
      <c r="A9" s="48" t="e">
        <f>#REF!</f>
        <v>#REF!</v>
      </c>
      <c r="B9" s="102" t="e">
        <f>#REF!</f>
        <v>#REF!</v>
      </c>
      <c r="C9" s="102"/>
      <c r="D9" s="108" t="e">
        <f>#REF!</f>
        <v>#REF!</v>
      </c>
      <c r="H9" s="48" t="e">
        <f>#REF!</f>
        <v>#REF!</v>
      </c>
      <c r="I9" s="102" t="e">
        <f>#REF!</f>
        <v>#REF!</v>
      </c>
      <c r="J9" s="102"/>
      <c r="K9" s="108" t="e">
        <f>#REF!</f>
        <v>#REF!</v>
      </c>
    </row>
    <row r="10" spans="1:11" ht="12">
      <c r="A10" s="48" t="e">
        <f>#REF!</f>
        <v>#REF!</v>
      </c>
      <c r="B10" s="102" t="e">
        <f>#REF!</f>
        <v>#REF!</v>
      </c>
      <c r="C10" s="102"/>
      <c r="D10" s="108" t="e">
        <f>#REF!</f>
        <v>#REF!</v>
      </c>
      <c r="H10" s="48" t="e">
        <f>#REF!</f>
        <v>#REF!</v>
      </c>
      <c r="I10" s="102" t="e">
        <f>#REF!</f>
        <v>#REF!</v>
      </c>
      <c r="J10" s="102"/>
      <c r="K10" s="108" t="e">
        <f>#REF!</f>
        <v>#REF!</v>
      </c>
    </row>
    <row r="11" spans="1:11" ht="12">
      <c r="A11" s="48" t="e">
        <f>#REF!</f>
        <v>#REF!</v>
      </c>
      <c r="B11" s="102" t="e">
        <f>#REF!</f>
        <v>#REF!</v>
      </c>
      <c r="C11" s="102"/>
      <c r="D11" s="108" t="e">
        <f>#REF!</f>
        <v>#REF!</v>
      </c>
      <c r="H11" s="48" t="e">
        <f>#REF!</f>
        <v>#REF!</v>
      </c>
      <c r="I11" s="102" t="e">
        <f>#REF!</f>
        <v>#REF!</v>
      </c>
      <c r="J11" s="102"/>
      <c r="K11" s="108" t="e">
        <f>#REF!</f>
        <v>#REF!</v>
      </c>
    </row>
    <row r="12" spans="1:11" ht="12">
      <c r="A12" s="48" t="e">
        <f>#REF!</f>
        <v>#REF!</v>
      </c>
      <c r="B12" s="102" t="e">
        <f>#REF!</f>
        <v>#REF!</v>
      </c>
      <c r="C12" s="102"/>
      <c r="D12" s="108" t="e">
        <f>#REF!</f>
        <v>#REF!</v>
      </c>
      <c r="H12" s="48"/>
      <c r="I12" s="102"/>
      <c r="J12" s="102"/>
      <c r="K12" s="108"/>
    </row>
    <row r="13" spans="1:11" ht="12">
      <c r="A13" s="48" t="e">
        <f>#REF!</f>
        <v>#REF!</v>
      </c>
      <c r="B13" s="102" t="e">
        <f>#REF!</f>
        <v>#REF!</v>
      </c>
      <c r="C13" s="102"/>
      <c r="D13" s="108" t="e">
        <f>#REF!</f>
        <v>#REF!</v>
      </c>
      <c r="H13" s="48"/>
      <c r="I13" s="102"/>
      <c r="J13" s="102"/>
      <c r="K13" s="108"/>
    </row>
    <row r="14" spans="1:11" ht="12">
      <c r="A14" s="48" t="e">
        <f>#REF!</f>
        <v>#REF!</v>
      </c>
      <c r="B14" s="102" t="e">
        <f>#REF!</f>
        <v>#REF!</v>
      </c>
      <c r="C14" s="102"/>
      <c r="D14" s="108" t="e">
        <f>#REF!</f>
        <v>#REF!</v>
      </c>
      <c r="H14" s="48"/>
      <c r="I14" s="102"/>
      <c r="J14" s="102"/>
      <c r="K14" s="108"/>
    </row>
    <row r="15" spans="1:11" ht="12.75" thickBot="1">
      <c r="A15" s="46"/>
      <c r="B15" s="41"/>
      <c r="C15" s="41"/>
      <c r="D15" s="109"/>
      <c r="H15" s="46"/>
      <c r="I15" s="41"/>
      <c r="J15" s="41"/>
      <c r="K15" s="109"/>
    </row>
    <row r="17" ht="12">
      <c r="A17" t="s">
        <v>121</v>
      </c>
    </row>
    <row r="18" ht="12">
      <c r="A18" t="s">
        <v>122</v>
      </c>
    </row>
  </sheetData>
  <sheetProtection/>
  <printOptions/>
  <pageMargins left="0.7480314960629921" right="0.7480314960629921" top="0.984251968503937" bottom="0.984251968503937" header="0.31496062992125984" footer="0.5118110236220472"/>
  <pageSetup fitToHeight="1" fitToWidth="1" orientation="portrait"/>
  <headerFooter alignWithMargins="0">
    <oddHeader>&amp;C&amp;"Arial,Bold"&amp;12RESULTS&amp;"Arial,Regular"&amp;10
Nanaimo Populaire
26th  March, 2000</oddHeader>
    <oddFooter>&amp;L&amp;F
&amp;A&amp;CPage &amp;P&amp;R&amp;D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G74"/>
  <sheetViews>
    <sheetView workbookViewId="0" topLeftCell="B1">
      <selection activeCell="A1" sqref="A1"/>
    </sheetView>
  </sheetViews>
  <sheetFormatPr defaultColWidth="8.8515625" defaultRowHeight="12.75"/>
  <cols>
    <col min="1" max="1" width="3.421875" style="0" hidden="1" customWidth="1"/>
    <col min="2" max="2" width="3.00390625" style="0" bestFit="1" customWidth="1"/>
    <col min="3" max="3" width="10.7109375" style="0" bestFit="1" customWidth="1"/>
    <col min="4" max="4" width="14.421875" style="0" customWidth="1"/>
    <col min="5" max="5" width="16.00390625" style="0" customWidth="1"/>
    <col min="6" max="6" width="38.28125" style="0" customWidth="1"/>
    <col min="7" max="7" width="11.00390625" style="0" customWidth="1"/>
  </cols>
  <sheetData>
    <row r="1" spans="3:7" ht="12">
      <c r="C1" s="98" t="s">
        <v>123</v>
      </c>
      <c r="D1" s="98"/>
      <c r="E1" s="98"/>
      <c r="F1" s="98"/>
      <c r="G1" s="98"/>
    </row>
    <row r="3" spans="3:7" ht="25.5" customHeight="1">
      <c r="C3" s="99" t="s">
        <v>124</v>
      </c>
      <c r="D3" s="99"/>
      <c r="E3" s="99"/>
      <c r="F3" s="99"/>
      <c r="G3" s="99"/>
    </row>
    <row r="4" spans="3:7" ht="25.5" customHeight="1">
      <c r="C4" s="99" t="s">
        <v>125</v>
      </c>
      <c r="D4" s="99"/>
      <c r="E4" s="99"/>
      <c r="F4" s="99"/>
      <c r="G4" s="99"/>
    </row>
    <row r="5" spans="3:7" ht="25.5" customHeight="1">
      <c r="C5" s="99" t="s">
        <v>126</v>
      </c>
      <c r="D5" s="99"/>
      <c r="E5" s="99"/>
      <c r="F5" s="99"/>
      <c r="G5" s="99"/>
    </row>
    <row r="6" spans="3:7" ht="25.5" customHeight="1">
      <c r="C6" s="99" t="s">
        <v>127</v>
      </c>
      <c r="D6" s="99"/>
      <c r="E6" s="99"/>
      <c r="F6" s="99"/>
      <c r="G6" s="99"/>
    </row>
    <row r="7" spans="3:7" ht="25.5" customHeight="1">
      <c r="C7" s="99" t="s">
        <v>128</v>
      </c>
      <c r="D7" s="99"/>
      <c r="E7" s="99"/>
      <c r="F7" s="99"/>
      <c r="G7" s="99"/>
    </row>
    <row r="8" spans="3:7" ht="21" customHeight="1">
      <c r="C8" s="99" t="s">
        <v>129</v>
      </c>
      <c r="D8" s="99"/>
      <c r="E8" s="99"/>
      <c r="F8" s="99"/>
      <c r="G8" s="99"/>
    </row>
    <row r="9" ht="12.75" customHeight="1" thickBot="1"/>
    <row r="10" spans="2:7" ht="13.5" customHeight="1" thickBot="1">
      <c r="B10" s="41"/>
      <c r="C10" s="87" t="s">
        <v>63</v>
      </c>
      <c r="D10" s="87" t="s">
        <v>62</v>
      </c>
      <c r="E10" s="83" t="s">
        <v>67</v>
      </c>
      <c r="F10" s="87" t="s">
        <v>41</v>
      </c>
      <c r="G10" s="87" t="s">
        <v>57</v>
      </c>
    </row>
    <row r="11" spans="2:7" ht="13.5" customHeight="1">
      <c r="B11" s="100">
        <v>1</v>
      </c>
      <c r="C11" s="90"/>
      <c r="D11" s="90"/>
      <c r="E11" s="91"/>
      <c r="F11" s="90"/>
      <c r="G11" s="90"/>
    </row>
    <row r="12" spans="2:7" ht="13.5" customHeight="1">
      <c r="B12" s="90">
        <v>2</v>
      </c>
      <c r="C12" s="90"/>
      <c r="D12" s="90"/>
      <c r="E12" s="91"/>
      <c r="F12" s="90"/>
      <c r="G12" s="90"/>
    </row>
    <row r="13" spans="2:7" ht="13.5" customHeight="1">
      <c r="B13" s="90">
        <v>3</v>
      </c>
      <c r="C13" s="90"/>
      <c r="D13" s="90"/>
      <c r="E13" s="91"/>
      <c r="F13" s="90"/>
      <c r="G13" s="90"/>
    </row>
    <row r="14" spans="2:7" ht="13.5" customHeight="1">
      <c r="B14" s="90">
        <v>4</v>
      </c>
      <c r="C14" s="90"/>
      <c r="D14" s="90"/>
      <c r="E14" s="91"/>
      <c r="F14" s="90"/>
      <c r="G14" s="90"/>
    </row>
    <row r="15" spans="2:7" ht="13.5" customHeight="1">
      <c r="B15" s="90">
        <v>5</v>
      </c>
      <c r="C15" s="90"/>
      <c r="D15" s="90"/>
      <c r="E15" s="91"/>
      <c r="F15" s="90"/>
      <c r="G15" s="90"/>
    </row>
    <row r="16" spans="2:7" ht="13.5" customHeight="1">
      <c r="B16" s="90">
        <v>6</v>
      </c>
      <c r="C16" s="90"/>
      <c r="D16" s="90"/>
      <c r="E16" s="91"/>
      <c r="F16" s="90"/>
      <c r="G16" s="90"/>
    </row>
    <row r="17" spans="2:7" ht="13.5" customHeight="1">
      <c r="B17" s="90">
        <v>7</v>
      </c>
      <c r="C17" s="90"/>
      <c r="D17" s="90"/>
      <c r="E17" s="91"/>
      <c r="F17" s="90"/>
      <c r="G17" s="90"/>
    </row>
    <row r="18" spans="2:7" ht="13.5" customHeight="1">
      <c r="B18" s="90">
        <v>8</v>
      </c>
      <c r="C18" s="90"/>
      <c r="D18" s="90"/>
      <c r="E18" s="91"/>
      <c r="F18" s="90"/>
      <c r="G18" s="90"/>
    </row>
    <row r="19" spans="2:7" ht="13.5" customHeight="1">
      <c r="B19" s="90">
        <v>9</v>
      </c>
      <c r="C19" s="90"/>
      <c r="D19" s="90"/>
      <c r="E19" s="91"/>
      <c r="F19" s="90"/>
      <c r="G19" s="90"/>
    </row>
    <row r="20" spans="2:7" ht="13.5" customHeight="1">
      <c r="B20" s="90">
        <v>10</v>
      </c>
      <c r="C20" s="90"/>
      <c r="D20" s="90"/>
      <c r="E20" s="91"/>
      <c r="F20" s="92"/>
      <c r="G20" s="90"/>
    </row>
    <row r="21" spans="2:7" ht="13.5" customHeight="1">
      <c r="B21" s="90">
        <v>11</v>
      </c>
      <c r="C21" s="90"/>
      <c r="D21" s="90"/>
      <c r="E21" s="91"/>
      <c r="F21" s="90"/>
      <c r="G21" s="90"/>
    </row>
    <row r="22" spans="2:7" ht="13.5" customHeight="1">
      <c r="B22" s="90">
        <v>12</v>
      </c>
      <c r="C22" s="90"/>
      <c r="D22" s="90"/>
      <c r="E22" s="91"/>
      <c r="F22" s="90"/>
      <c r="G22" s="90"/>
    </row>
    <row r="23" spans="2:7" ht="13.5" customHeight="1">
      <c r="B23" s="90">
        <v>13</v>
      </c>
      <c r="C23" s="90"/>
      <c r="D23" s="90"/>
      <c r="E23" s="91"/>
      <c r="F23" s="90"/>
      <c r="G23" s="90"/>
    </row>
    <row r="24" spans="2:7" ht="13.5" customHeight="1">
      <c r="B24" s="90">
        <v>14</v>
      </c>
      <c r="C24" s="90"/>
      <c r="D24" s="90"/>
      <c r="E24" s="91"/>
      <c r="F24" s="90"/>
      <c r="G24" s="90"/>
    </row>
    <row r="25" spans="2:7" ht="13.5" customHeight="1">
      <c r="B25" s="90">
        <v>15</v>
      </c>
      <c r="C25" s="90"/>
      <c r="D25" s="90"/>
      <c r="E25" s="91"/>
      <c r="F25" s="90"/>
      <c r="G25" s="90"/>
    </row>
    <row r="26" spans="2:7" ht="13.5" customHeight="1">
      <c r="B26" s="90">
        <v>16</v>
      </c>
      <c r="C26" s="90"/>
      <c r="D26" s="90"/>
      <c r="E26" s="91"/>
      <c r="F26" s="90"/>
      <c r="G26" s="90"/>
    </row>
    <row r="27" spans="2:7" ht="13.5" customHeight="1">
      <c r="B27" s="90">
        <v>17</v>
      </c>
      <c r="C27" s="90"/>
      <c r="D27" s="90"/>
      <c r="E27" s="91"/>
      <c r="F27" s="90"/>
      <c r="G27" s="90"/>
    </row>
    <row r="28" spans="2:7" ht="13.5" customHeight="1">
      <c r="B28" s="90">
        <v>18</v>
      </c>
      <c r="C28" s="90"/>
      <c r="D28" s="90"/>
      <c r="E28" s="91"/>
      <c r="F28" s="90"/>
      <c r="G28" s="90"/>
    </row>
    <row r="29" spans="2:7" ht="13.5" customHeight="1">
      <c r="B29" s="90">
        <v>19</v>
      </c>
      <c r="C29" s="90"/>
      <c r="D29" s="90"/>
      <c r="E29" s="91"/>
      <c r="F29" s="90"/>
      <c r="G29" s="90"/>
    </row>
    <row r="30" spans="2:7" ht="13.5" customHeight="1">
      <c r="B30" s="90">
        <v>20</v>
      </c>
      <c r="C30" s="90"/>
      <c r="D30" s="90"/>
      <c r="E30" s="91"/>
      <c r="F30" s="90"/>
      <c r="G30" s="90"/>
    </row>
    <row r="31" spans="2:7" ht="13.5" customHeight="1">
      <c r="B31" s="90">
        <v>21</v>
      </c>
      <c r="C31" s="90"/>
      <c r="D31" s="90"/>
      <c r="E31" s="91"/>
      <c r="F31" s="90"/>
      <c r="G31" s="90"/>
    </row>
    <row r="32" spans="2:7" ht="13.5" customHeight="1">
      <c r="B32" s="90">
        <v>22</v>
      </c>
      <c r="C32" s="90"/>
      <c r="D32" s="90"/>
      <c r="E32" s="91"/>
      <c r="F32" s="90"/>
      <c r="G32" s="90"/>
    </row>
    <row r="33" spans="2:7" ht="13.5" customHeight="1">
      <c r="B33" s="90">
        <v>23</v>
      </c>
      <c r="C33" s="90"/>
      <c r="D33" s="90"/>
      <c r="E33" s="91"/>
      <c r="F33" s="90"/>
      <c r="G33" s="90"/>
    </row>
    <row r="34" spans="2:7" ht="13.5" customHeight="1">
      <c r="B34" s="90">
        <v>24</v>
      </c>
      <c r="C34" s="90"/>
      <c r="D34" s="90"/>
      <c r="E34" s="91"/>
      <c r="F34" s="90"/>
      <c r="G34" s="90"/>
    </row>
    <row r="35" spans="2:7" ht="13.5" customHeight="1">
      <c r="B35" s="90">
        <v>25</v>
      </c>
      <c r="C35" s="90"/>
      <c r="D35" s="90"/>
      <c r="E35" s="91"/>
      <c r="F35" s="90"/>
      <c r="G35" s="90"/>
    </row>
    <row r="36" spans="2:7" ht="13.5" customHeight="1">
      <c r="B36" s="90">
        <v>26</v>
      </c>
      <c r="C36" s="90"/>
      <c r="D36" s="90"/>
      <c r="E36" s="91"/>
      <c r="F36" s="90"/>
      <c r="G36" s="90"/>
    </row>
    <row r="37" spans="2:7" ht="13.5" customHeight="1">
      <c r="B37" s="90">
        <v>27</v>
      </c>
      <c r="C37" s="90"/>
      <c r="D37" s="90"/>
      <c r="E37" s="91"/>
      <c r="F37" s="90"/>
      <c r="G37" s="90"/>
    </row>
    <row r="38" spans="2:7" ht="13.5" customHeight="1">
      <c r="B38" s="90">
        <v>28</v>
      </c>
      <c r="C38" s="90"/>
      <c r="D38" s="90"/>
      <c r="E38" s="91"/>
      <c r="F38" s="90"/>
      <c r="G38" s="90"/>
    </row>
    <row r="39" spans="2:7" ht="13.5" customHeight="1">
      <c r="B39" s="90">
        <v>29</v>
      </c>
      <c r="C39" s="90"/>
      <c r="D39" s="90"/>
      <c r="E39" s="91"/>
      <c r="F39" s="90"/>
      <c r="G39" s="90"/>
    </row>
    <row r="40" spans="2:7" ht="13.5" customHeight="1">
      <c r="B40" s="90">
        <v>30</v>
      </c>
      <c r="C40" s="90"/>
      <c r="D40" s="90"/>
      <c r="E40" s="91"/>
      <c r="F40" s="90"/>
      <c r="G40" s="90"/>
    </row>
    <row r="41" spans="2:7" ht="13.5" customHeight="1">
      <c r="B41" s="90">
        <v>31</v>
      </c>
      <c r="C41" s="90"/>
      <c r="D41" s="90"/>
      <c r="E41" s="91"/>
      <c r="F41" s="90"/>
      <c r="G41" s="90"/>
    </row>
    <row r="42" spans="2:7" ht="13.5" customHeight="1">
      <c r="B42" s="90">
        <v>32</v>
      </c>
      <c r="C42" s="90"/>
      <c r="D42" s="90"/>
      <c r="E42" s="91"/>
      <c r="F42" s="90"/>
      <c r="G42" s="90"/>
    </row>
    <row r="43" spans="2:7" ht="13.5" customHeight="1">
      <c r="B43" s="90">
        <v>33</v>
      </c>
      <c r="C43" s="90"/>
      <c r="D43" s="90"/>
      <c r="E43" s="91"/>
      <c r="F43" s="90"/>
      <c r="G43" s="90"/>
    </row>
    <row r="44" spans="2:7" ht="13.5" customHeight="1">
      <c r="B44" s="90">
        <v>34</v>
      </c>
      <c r="C44" s="90"/>
      <c r="D44" s="90"/>
      <c r="E44" s="91"/>
      <c r="F44" s="90"/>
      <c r="G44" s="90"/>
    </row>
    <row r="45" spans="2:7" ht="13.5" customHeight="1">
      <c r="B45" s="90">
        <v>35</v>
      </c>
      <c r="C45" s="90"/>
      <c r="D45" s="90"/>
      <c r="E45" s="91"/>
      <c r="F45" s="90"/>
      <c r="G45" s="90"/>
    </row>
    <row r="46" spans="2:7" ht="13.5" customHeight="1">
      <c r="B46" s="90">
        <v>36</v>
      </c>
      <c r="C46" s="90"/>
      <c r="D46" s="90"/>
      <c r="E46" s="91"/>
      <c r="F46" s="90"/>
      <c r="G46" s="90"/>
    </row>
    <row r="47" spans="2:7" ht="13.5" customHeight="1">
      <c r="B47" s="90">
        <v>37</v>
      </c>
      <c r="C47" s="90"/>
      <c r="D47" s="90"/>
      <c r="E47" s="91"/>
      <c r="F47" s="90"/>
      <c r="G47" s="90"/>
    </row>
    <row r="48" spans="2:7" ht="13.5" customHeight="1">
      <c r="B48" s="90">
        <v>38</v>
      </c>
      <c r="C48" s="90"/>
      <c r="D48" s="90"/>
      <c r="E48" s="91"/>
      <c r="F48" s="90"/>
      <c r="G48" s="90"/>
    </row>
    <row r="49" spans="2:7" ht="13.5" customHeight="1">
      <c r="B49" s="90">
        <v>39</v>
      </c>
      <c r="C49" s="90"/>
      <c r="D49" s="90"/>
      <c r="E49" s="91"/>
      <c r="F49" s="90"/>
      <c r="G49" s="90"/>
    </row>
    <row r="50" spans="2:7" ht="13.5" customHeight="1">
      <c r="B50" s="90">
        <v>40</v>
      </c>
      <c r="C50" s="90"/>
      <c r="D50" s="90"/>
      <c r="E50" s="91"/>
      <c r="F50" s="90"/>
      <c r="G50" s="90"/>
    </row>
    <row r="51" spans="2:7" ht="13.5" customHeight="1">
      <c r="B51" s="90">
        <v>41</v>
      </c>
      <c r="C51" s="90"/>
      <c r="D51" s="90"/>
      <c r="E51" s="91"/>
      <c r="F51" s="90"/>
      <c r="G51" s="90"/>
    </row>
    <row r="52" spans="2:7" ht="13.5" customHeight="1">
      <c r="B52" s="90">
        <v>42</v>
      </c>
      <c r="C52" s="90"/>
      <c r="D52" s="90"/>
      <c r="E52" s="91"/>
      <c r="F52" s="90"/>
      <c r="G52" s="90"/>
    </row>
    <row r="53" spans="2:7" ht="13.5" customHeight="1">
      <c r="B53" s="90">
        <v>43</v>
      </c>
      <c r="C53" s="90"/>
      <c r="D53" s="90"/>
      <c r="E53" s="91"/>
      <c r="F53" s="90"/>
      <c r="G53" s="90"/>
    </row>
    <row r="54" spans="2:7" ht="13.5" customHeight="1">
      <c r="B54" s="90">
        <v>44</v>
      </c>
      <c r="C54" s="90"/>
      <c r="D54" s="90"/>
      <c r="E54" s="91"/>
      <c r="F54" s="90"/>
      <c r="G54" s="90"/>
    </row>
    <row r="55" spans="2:7" ht="13.5" customHeight="1">
      <c r="B55" s="90">
        <v>45</v>
      </c>
      <c r="C55" s="90"/>
      <c r="D55" s="90"/>
      <c r="E55" s="91"/>
      <c r="F55" s="90"/>
      <c r="G55" s="90"/>
    </row>
    <row r="56" spans="2:7" ht="13.5" customHeight="1">
      <c r="B56" s="90">
        <v>46</v>
      </c>
      <c r="C56" s="90"/>
      <c r="D56" s="90"/>
      <c r="E56" s="91"/>
      <c r="F56" s="90"/>
      <c r="G56" s="90"/>
    </row>
    <row r="57" spans="2:7" ht="13.5" customHeight="1">
      <c r="B57" s="90">
        <v>47</v>
      </c>
      <c r="C57" s="90"/>
      <c r="D57" s="90"/>
      <c r="E57" s="91"/>
      <c r="F57" s="90"/>
      <c r="G57" s="90"/>
    </row>
    <row r="58" spans="2:7" ht="13.5" customHeight="1">
      <c r="B58" s="90">
        <v>48</v>
      </c>
      <c r="C58" s="90"/>
      <c r="D58" s="90"/>
      <c r="E58" s="91"/>
      <c r="F58" s="90"/>
      <c r="G58" s="90"/>
    </row>
    <row r="59" spans="2:7" ht="13.5" customHeight="1">
      <c r="B59" s="90">
        <v>49</v>
      </c>
      <c r="C59" s="90"/>
      <c r="D59" s="90"/>
      <c r="E59" s="91"/>
      <c r="F59" s="90"/>
      <c r="G59" s="90"/>
    </row>
    <row r="60" spans="2:7" ht="13.5" customHeight="1">
      <c r="B60" s="90">
        <v>50</v>
      </c>
      <c r="C60" s="90"/>
      <c r="D60" s="90"/>
      <c r="E60" s="91"/>
      <c r="F60" s="90"/>
      <c r="G60" s="90"/>
    </row>
    <row r="61" spans="2:7" ht="13.5" customHeight="1">
      <c r="B61" s="90">
        <v>51</v>
      </c>
      <c r="C61" s="90"/>
      <c r="D61" s="90"/>
      <c r="E61" s="91"/>
      <c r="F61" s="90"/>
      <c r="G61" s="90"/>
    </row>
    <row r="62" spans="2:7" ht="13.5" customHeight="1">
      <c r="B62" s="90">
        <v>52</v>
      </c>
      <c r="C62" s="90"/>
      <c r="D62" s="90"/>
      <c r="E62" s="91"/>
      <c r="F62" s="90"/>
      <c r="G62" s="90"/>
    </row>
    <row r="63" spans="2:7" ht="13.5" customHeight="1">
      <c r="B63" s="90">
        <v>53</v>
      </c>
      <c r="C63" s="90"/>
      <c r="D63" s="90"/>
      <c r="E63" s="91"/>
      <c r="F63" s="90"/>
      <c r="G63" s="90"/>
    </row>
    <row r="64" spans="2:7" ht="13.5" customHeight="1">
      <c r="B64" s="90">
        <v>54</v>
      </c>
      <c r="C64" s="90"/>
      <c r="D64" s="90"/>
      <c r="E64" s="91"/>
      <c r="F64" s="90"/>
      <c r="G64" s="90"/>
    </row>
    <row r="65" spans="2:7" ht="13.5" customHeight="1">
      <c r="B65" s="90">
        <v>55</v>
      </c>
      <c r="C65" s="90"/>
      <c r="D65" s="90"/>
      <c r="E65" s="91"/>
      <c r="F65" s="90"/>
      <c r="G65" s="90"/>
    </row>
    <row r="66" spans="2:7" ht="13.5" customHeight="1">
      <c r="B66" s="90">
        <v>56</v>
      </c>
      <c r="C66" s="90"/>
      <c r="D66" s="90"/>
      <c r="E66" s="91"/>
      <c r="F66" s="90"/>
      <c r="G66" s="90"/>
    </row>
    <row r="67" spans="2:7" ht="13.5" customHeight="1">
      <c r="B67" s="90">
        <v>57</v>
      </c>
      <c r="C67" s="90"/>
      <c r="D67" s="90"/>
      <c r="E67" s="91"/>
      <c r="F67" s="90"/>
      <c r="G67" s="90"/>
    </row>
    <row r="68" spans="2:7" ht="13.5" customHeight="1">
      <c r="B68" s="90">
        <v>58</v>
      </c>
      <c r="C68" s="90"/>
      <c r="D68" s="90"/>
      <c r="E68" s="91"/>
      <c r="F68" s="90"/>
      <c r="G68" s="90"/>
    </row>
    <row r="69" spans="2:7" ht="13.5" customHeight="1">
      <c r="B69" s="90">
        <v>59</v>
      </c>
      <c r="C69" s="90"/>
      <c r="D69" s="90"/>
      <c r="E69" s="91"/>
      <c r="F69" s="90"/>
      <c r="G69" s="90"/>
    </row>
    <row r="70" spans="2:7" ht="13.5" customHeight="1">
      <c r="B70" s="90">
        <v>60</v>
      </c>
      <c r="C70" s="90"/>
      <c r="D70" s="90"/>
      <c r="E70" s="91"/>
      <c r="F70" s="90"/>
      <c r="G70" s="90"/>
    </row>
    <row r="71" spans="2:7" ht="13.5" customHeight="1">
      <c r="B71" s="90">
        <v>61</v>
      </c>
      <c r="C71" s="90"/>
      <c r="D71" s="90"/>
      <c r="E71" s="91"/>
      <c r="F71" s="90"/>
      <c r="G71" s="90"/>
    </row>
    <row r="72" spans="2:7" ht="13.5" customHeight="1">
      <c r="B72" s="90">
        <v>62</v>
      </c>
      <c r="C72" s="90"/>
      <c r="D72" s="90"/>
      <c r="E72" s="91"/>
      <c r="F72" s="90"/>
      <c r="G72" s="90"/>
    </row>
    <row r="73" spans="2:7" ht="13.5" customHeight="1">
      <c r="B73" s="90">
        <v>63</v>
      </c>
      <c r="C73" s="90"/>
      <c r="D73" s="90"/>
      <c r="E73" s="91"/>
      <c r="F73" s="90"/>
      <c r="G73" s="90"/>
    </row>
    <row r="74" spans="2:7" ht="13.5" customHeight="1" thickBot="1">
      <c r="B74" s="121">
        <v>64</v>
      </c>
      <c r="C74" s="121"/>
      <c r="D74" s="121"/>
      <c r="E74" s="122"/>
      <c r="F74" s="121"/>
      <c r="G74" s="121"/>
    </row>
  </sheetData>
  <sheetProtection/>
  <printOptions/>
  <pageMargins left="0.75" right="0.75" top="1" bottom="1" header="0.5" footer="0.5"/>
  <pageSetup fitToHeight="2" fitToWidth="1" orientation="portrait" scale="97"/>
  <headerFooter alignWithMargins="0">
    <oddHeader>&amp;LVI0100B&amp;C&amp;"Arial,Bold"&amp;12Nanaimo Populaire
&amp;"Arial,Regular"&amp;10 13th March, 2001</oddHeader>
    <oddFooter>&amp;Cpage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Sian Echard</cp:lastModifiedBy>
  <cp:lastPrinted>2012-04-16T02:22:00Z</cp:lastPrinted>
  <dcterms:created xsi:type="dcterms:W3CDTF">1997-11-12T04:43:39Z</dcterms:created>
  <dcterms:modified xsi:type="dcterms:W3CDTF">2012-04-18T19:02:56Z</dcterms:modified>
  <cp:category/>
  <cp:version/>
  <cp:contentType/>
  <cp:contentStatus/>
</cp:coreProperties>
</file>